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9.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0.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11.xml" ContentType="application/vnd.openxmlformats-officedocument.drawing+xml"/>
  <Override PartName="/xl/charts/chart23.xml" ContentType="application/vnd.openxmlformats-officedocument.drawingml.chart+xml"/>
  <Override PartName="/xl/drawings/drawing12.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drawings/drawing15.xml" ContentType="application/vnd.openxmlformats-officedocument.drawing+xml"/>
  <Override PartName="/xl/charts/chart29.xml" ContentType="application/vnd.openxmlformats-officedocument.drawingml.chart+xml"/>
  <Override PartName="/xl/drawings/drawing16.xml" ContentType="application/vnd.openxmlformats-officedocument.drawing+xml"/>
  <Override PartName="/xl/charts/chart30.xml" ContentType="application/vnd.openxmlformats-officedocument.drawingml.chart+xml"/>
  <Override PartName="/xl/drawings/drawing17.xml" ContentType="application/vnd.openxmlformats-officedocument.drawing+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drawings/drawing21.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22.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23.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4.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amartner\Desktop\"/>
    </mc:Choice>
  </mc:AlternateContent>
  <bookViews>
    <workbookView xWindow="0" yWindow="0" windowWidth="24000" windowHeight="9735" tabRatio="913"/>
  </bookViews>
  <sheets>
    <sheet name="ÍNDICE" sheetId="20" r:id="rId1"/>
    <sheet name="I.1" sheetId="30" r:id="rId2"/>
    <sheet name="I.2" sheetId="28" r:id="rId3"/>
    <sheet name="I.3" sheetId="27" r:id="rId4"/>
    <sheet name="B.1" sheetId="32" r:id="rId5"/>
    <sheet name="B.2" sheetId="3" r:id="rId6"/>
    <sheet name="C.1" sheetId="29" r:id="rId7"/>
    <sheet name="C.2" sheetId="39" r:id="rId8"/>
    <sheet name="C.3" sheetId="35" r:id="rId9"/>
    <sheet name="C.4" sheetId="36" r:id="rId10"/>
    <sheet name="C.5" sheetId="34" r:id="rId11"/>
    <sheet name="C.6" sheetId="25" r:id="rId12"/>
    <sheet name="C.7" sheetId="26" r:id="rId13"/>
    <sheet name="C.8" sheetId="6" r:id="rId14"/>
    <sheet name="C.9" sheetId="7" r:id="rId15"/>
    <sheet name="C.10" sheetId="8" r:id="rId16"/>
    <sheet name="C.11" sheetId="9" r:id="rId17"/>
    <sheet name="C.12" sheetId="10" r:id="rId18"/>
    <sheet name="C.13" sheetId="41" r:id="rId19"/>
    <sheet name="C.14" sheetId="21" r:id="rId20"/>
    <sheet name="C.15" sheetId="22" r:id="rId21"/>
    <sheet name="C.16" sheetId="4" r:id="rId22"/>
    <sheet name="C.17" sheetId="5" r:id="rId23"/>
    <sheet name="D.1" sheetId="23" r:id="rId24"/>
    <sheet name="D.2" sheetId="24" r:id="rId25"/>
    <sheet name="D.3" sheetId="11" r:id="rId26"/>
    <sheet name="D.4" sheetId="43" r:id="rId27"/>
    <sheet name="D.5" sheetId="12" r:id="rId28"/>
    <sheet name="D.6" sheetId="13" r:id="rId29"/>
    <sheet name="D.7" sheetId="14" r:id="rId30"/>
    <sheet name="D.8" sheetId="15" r:id="rId31"/>
    <sheet name="D.9" sheetId="16" r:id="rId32"/>
    <sheet name="D.10" sheetId="17" r:id="rId33"/>
    <sheet name="D.11" sheetId="19" r:id="rId34"/>
    <sheet name="D.12" sheetId="45" r:id="rId35"/>
    <sheet name="ANEXO 1" sheetId="40" r:id="rId36"/>
    <sheet name="ANEXO 2" sheetId="42" r:id="rId37"/>
  </sheets>
  <externalReferences>
    <externalReference r:id="rId38"/>
  </externalReferences>
  <definedNames>
    <definedName name="CoherenceInterval">[1]HiddenSettings!$B$4</definedName>
  </definedNames>
  <calcPr calcId="152511"/>
</workbook>
</file>

<file path=xl/calcChain.xml><?xml version="1.0" encoding="utf-8"?>
<calcChain xmlns="http://schemas.openxmlformats.org/spreadsheetml/2006/main">
  <c r="I37" i="21" l="1"/>
  <c r="D12" i="22" l="1"/>
  <c r="G51" i="34" l="1"/>
  <c r="G50" i="34"/>
  <c r="G49" i="34"/>
  <c r="D59" i="45" l="1"/>
  <c r="D60" i="45"/>
  <c r="D61" i="45"/>
  <c r="I14" i="24"/>
  <c r="G53" i="19"/>
  <c r="G24" i="19"/>
  <c r="G25" i="19"/>
  <c r="C12" i="17"/>
  <c r="D22" i="15" l="1"/>
  <c r="C22" i="15"/>
  <c r="E22" i="15"/>
  <c r="C13" i="15"/>
  <c r="D13" i="15"/>
  <c r="C37" i="15"/>
  <c r="C30" i="15"/>
  <c r="D30" i="15"/>
  <c r="D27" i="15"/>
  <c r="I22" i="15"/>
  <c r="J22" i="15"/>
  <c r="K22" i="15"/>
  <c r="I13" i="15"/>
  <c r="J13" i="15"/>
  <c r="K13" i="15"/>
  <c r="D35" i="13"/>
  <c r="D36" i="13"/>
  <c r="D37" i="13"/>
  <c r="D41" i="13"/>
  <c r="D44" i="13"/>
  <c r="D45" i="13"/>
  <c r="D47" i="13"/>
  <c r="D8" i="13"/>
  <c r="D9" i="13"/>
  <c r="D10" i="13"/>
  <c r="D14" i="13"/>
  <c r="D17" i="13"/>
  <c r="D18" i="13"/>
  <c r="D19" i="13"/>
  <c r="D20" i="13"/>
  <c r="H20" i="11" l="1"/>
  <c r="C24" i="26"/>
  <c r="K31" i="26"/>
  <c r="D27" i="25"/>
  <c r="E8" i="25" s="1"/>
  <c r="I12" i="36"/>
  <c r="I11" i="36"/>
  <c r="E25" i="25" l="1"/>
  <c r="E23" i="25"/>
  <c r="E21" i="25"/>
  <c r="E19" i="25"/>
  <c r="E17" i="25"/>
  <c r="E15" i="25"/>
  <c r="E13" i="25"/>
  <c r="E11" i="25"/>
  <c r="E9" i="25"/>
  <c r="E27" i="25"/>
  <c r="E26" i="25"/>
  <c r="E24" i="25"/>
  <c r="E22" i="25"/>
  <c r="E20" i="25"/>
  <c r="E18" i="25"/>
  <c r="E16" i="25"/>
  <c r="E14" i="25"/>
  <c r="E12" i="25"/>
  <c r="E10" i="25"/>
  <c r="L9" i="39" l="1"/>
  <c r="L10" i="39"/>
  <c r="L11" i="39"/>
  <c r="L12" i="39"/>
  <c r="L13" i="39"/>
  <c r="L14" i="39"/>
  <c r="L15" i="39"/>
  <c r="L16" i="39"/>
  <c r="L17" i="39"/>
  <c r="L18" i="39"/>
  <c r="L19" i="39"/>
  <c r="L20" i="39"/>
  <c r="L21" i="39"/>
  <c r="L22" i="39"/>
  <c r="L23" i="39"/>
  <c r="L24" i="39"/>
  <c r="L26" i="39"/>
  <c r="L28" i="39"/>
  <c r="M27" i="39" s="1"/>
  <c r="J9" i="39"/>
  <c r="J10" i="39"/>
  <c r="J11" i="39"/>
  <c r="J12" i="39"/>
  <c r="J13" i="39"/>
  <c r="J14" i="39"/>
  <c r="J15" i="39"/>
  <c r="J16" i="39"/>
  <c r="J17" i="39"/>
  <c r="J18" i="39"/>
  <c r="J19" i="39"/>
  <c r="J21" i="39"/>
  <c r="J22" i="39"/>
  <c r="J28" i="39"/>
  <c r="K20" i="39" s="1"/>
  <c r="H9" i="39"/>
  <c r="H10" i="39"/>
  <c r="H11" i="39"/>
  <c r="H12" i="39"/>
  <c r="H13" i="39"/>
  <c r="H14" i="39"/>
  <c r="H15" i="39"/>
  <c r="H16" i="39"/>
  <c r="H17" i="39"/>
  <c r="H18" i="39"/>
  <c r="H19" i="39"/>
  <c r="H20" i="39"/>
  <c r="H21" i="39"/>
  <c r="H22" i="39"/>
  <c r="H23" i="39"/>
  <c r="H24" i="39"/>
  <c r="H25" i="39"/>
  <c r="F9" i="39"/>
  <c r="F10" i="39"/>
  <c r="F11" i="39"/>
  <c r="F12" i="39"/>
  <c r="F13" i="39"/>
  <c r="F14" i="39"/>
  <c r="F15" i="39"/>
  <c r="F16" i="39"/>
  <c r="F17" i="39"/>
  <c r="F18" i="39"/>
  <c r="F19" i="39"/>
  <c r="F20" i="39"/>
  <c r="F21" i="39"/>
  <c r="F22" i="39"/>
  <c r="F23" i="39"/>
  <c r="F24" i="39"/>
  <c r="F25" i="39"/>
  <c r="F26" i="39"/>
  <c r="F27" i="39"/>
  <c r="C9" i="39"/>
  <c r="C10" i="39"/>
  <c r="C11" i="39"/>
  <c r="C12" i="39"/>
  <c r="C13" i="39"/>
  <c r="C14" i="39"/>
  <c r="C15" i="39"/>
  <c r="C16" i="39"/>
  <c r="C17" i="39"/>
  <c r="C18" i="39"/>
  <c r="C19" i="39"/>
  <c r="C20" i="39"/>
  <c r="C21" i="39"/>
  <c r="C22" i="39"/>
  <c r="C24" i="39"/>
  <c r="C25" i="39"/>
  <c r="C26" i="39"/>
  <c r="C27" i="39"/>
  <c r="D9" i="39"/>
  <c r="D10" i="39"/>
  <c r="D11" i="39"/>
  <c r="D12" i="39"/>
  <c r="D13" i="39"/>
  <c r="D14" i="39"/>
  <c r="D15" i="39"/>
  <c r="D16" i="39"/>
  <c r="D17" i="39"/>
  <c r="D18" i="39"/>
  <c r="D19" i="39"/>
  <c r="D20" i="39"/>
  <c r="D21" i="39"/>
  <c r="D22" i="39"/>
  <c r="D23" i="39"/>
  <c r="D24" i="39"/>
  <c r="D25" i="39"/>
  <c r="D26" i="39"/>
  <c r="D27" i="39"/>
  <c r="I9" i="29"/>
  <c r="E10" i="29"/>
  <c r="K22" i="39" l="1"/>
  <c r="K9" i="39"/>
  <c r="M23" i="39"/>
  <c r="M19" i="39"/>
  <c r="M15" i="39"/>
  <c r="M11" i="39"/>
  <c r="K21" i="39"/>
  <c r="M22" i="39"/>
  <c r="M18" i="39"/>
  <c r="M14" i="39"/>
  <c r="M10" i="39"/>
  <c r="M21" i="39"/>
  <c r="M17" i="39"/>
  <c r="M13" i="39"/>
  <c r="M9" i="39"/>
  <c r="M24" i="39"/>
  <c r="M20" i="39"/>
  <c r="M16" i="39"/>
  <c r="M12" i="39"/>
  <c r="M26" i="39"/>
  <c r="M25" i="39"/>
  <c r="M28" i="39"/>
  <c r="K28" i="39"/>
  <c r="K27" i="39"/>
  <c r="K25" i="39"/>
  <c r="K23" i="39"/>
  <c r="K19" i="39"/>
  <c r="K18" i="39"/>
  <c r="K17" i="39"/>
  <c r="K16" i="39"/>
  <c r="K15" i="39"/>
  <c r="K14" i="39"/>
  <c r="K13" i="39"/>
  <c r="K12" i="39"/>
  <c r="K11" i="39"/>
  <c r="K10" i="39"/>
  <c r="K26" i="39"/>
  <c r="K24" i="39"/>
  <c r="U10" i="3"/>
  <c r="AE13" i="3"/>
  <c r="E9" i="3"/>
  <c r="H9" i="3"/>
  <c r="E10" i="3"/>
  <c r="G10" i="3" s="1"/>
  <c r="E11" i="3"/>
  <c r="G11" i="3"/>
  <c r="H11" i="3"/>
  <c r="E12" i="3"/>
  <c r="G12" i="3" s="1"/>
  <c r="E13" i="3"/>
  <c r="G13" i="3" s="1"/>
  <c r="E14" i="3"/>
  <c r="G14" i="3" s="1"/>
  <c r="E15" i="3"/>
  <c r="G15" i="3" s="1"/>
  <c r="E16" i="3"/>
  <c r="G16" i="3" s="1"/>
  <c r="E17" i="3"/>
  <c r="G17" i="3" s="1"/>
  <c r="E18" i="3"/>
  <c r="G18" i="3" s="1"/>
  <c r="E19" i="3"/>
  <c r="G19" i="3" s="1"/>
  <c r="E20" i="3"/>
  <c r="G20" i="3" s="1"/>
  <c r="E21" i="3"/>
  <c r="G21" i="3" s="1"/>
  <c r="E22" i="3"/>
  <c r="G22" i="3"/>
  <c r="H22" i="3"/>
  <c r="E23" i="3"/>
  <c r="E24" i="3"/>
  <c r="G24" i="3"/>
  <c r="H24" i="3"/>
  <c r="E25" i="3"/>
  <c r="H25" i="3"/>
  <c r="E26" i="3"/>
  <c r="D28" i="3"/>
  <c r="D8" i="32"/>
  <c r="F8" i="32"/>
  <c r="F27" i="32" s="1"/>
  <c r="G9" i="32" s="1"/>
  <c r="I8" i="32"/>
  <c r="K8" i="32"/>
  <c r="D9" i="32"/>
  <c r="H9" i="32" s="1"/>
  <c r="I9" i="32"/>
  <c r="D10" i="32"/>
  <c r="H10" i="32" s="1"/>
  <c r="F10" i="32"/>
  <c r="I10" i="32"/>
  <c r="D11" i="32"/>
  <c r="F11" i="32"/>
  <c r="H11" i="32"/>
  <c r="I11" i="32"/>
  <c r="K11" i="32" s="1"/>
  <c r="D12" i="32"/>
  <c r="F12" i="32"/>
  <c r="H12" i="32"/>
  <c r="I12" i="32"/>
  <c r="K12" i="32"/>
  <c r="D13" i="32"/>
  <c r="F13" i="32"/>
  <c r="I13" i="32"/>
  <c r="K13" i="32"/>
  <c r="D14" i="32"/>
  <c r="F14" i="32"/>
  <c r="I14" i="32"/>
  <c r="K14" i="32"/>
  <c r="D15" i="32"/>
  <c r="F15" i="32"/>
  <c r="H15" i="32"/>
  <c r="I15" i="32"/>
  <c r="D16" i="32"/>
  <c r="F16" i="32"/>
  <c r="H16" i="32"/>
  <c r="I16" i="32"/>
  <c r="K16" i="32"/>
  <c r="D17" i="32"/>
  <c r="F17" i="32"/>
  <c r="H17" i="32" s="1"/>
  <c r="I17" i="32"/>
  <c r="K17" i="32" s="1"/>
  <c r="D18" i="32"/>
  <c r="H18" i="32" s="1"/>
  <c r="F18" i="32"/>
  <c r="I18" i="32"/>
  <c r="K18" i="32"/>
  <c r="D19" i="32"/>
  <c r="I19" i="32"/>
  <c r="D20" i="32"/>
  <c r="F20" i="32"/>
  <c r="I20" i="32"/>
  <c r="K20" i="32" s="1"/>
  <c r="D21" i="32"/>
  <c r="H21" i="32" s="1"/>
  <c r="F21" i="32"/>
  <c r="I21" i="32"/>
  <c r="K21" i="32"/>
  <c r="D23" i="32"/>
  <c r="H23" i="32"/>
  <c r="I23" i="32"/>
  <c r="K23" i="32"/>
  <c r="D24" i="32"/>
  <c r="F24" i="32"/>
  <c r="H24" i="32" s="1"/>
  <c r="I24" i="32"/>
  <c r="K24" i="32" s="1"/>
  <c r="I25" i="32"/>
  <c r="D26" i="32"/>
  <c r="K26" i="32"/>
  <c r="I27" i="32"/>
  <c r="J20" i="32" s="1"/>
  <c r="I35" i="32"/>
  <c r="I36" i="32"/>
  <c r="I37" i="32"/>
  <c r="I38" i="32"/>
  <c r="I39" i="32"/>
  <c r="I40" i="32"/>
  <c r="I41" i="32"/>
  <c r="I42" i="32"/>
  <c r="I43" i="32"/>
  <c r="I44" i="32"/>
  <c r="I45" i="32"/>
  <c r="I46" i="32"/>
  <c r="I47" i="32"/>
  <c r="I50" i="32"/>
  <c r="I51" i="32"/>
  <c r="I54" i="32"/>
  <c r="J49" i="32" s="1"/>
  <c r="F35" i="32"/>
  <c r="G20" i="32" l="1"/>
  <c r="K10" i="32"/>
  <c r="J18" i="32"/>
  <c r="G12" i="32"/>
  <c r="K9" i="32"/>
  <c r="G25" i="3"/>
  <c r="J50" i="32"/>
  <c r="J15" i="32"/>
  <c r="G13" i="32"/>
  <c r="J25" i="32"/>
  <c r="G24" i="32"/>
  <c r="J19" i="32"/>
  <c r="J17" i="32"/>
  <c r="H14" i="32"/>
  <c r="G11" i="32"/>
  <c r="J8" i="32"/>
  <c r="H21" i="3"/>
  <c r="H10" i="3"/>
  <c r="G9" i="3"/>
  <c r="J46" i="32"/>
  <c r="J44" i="32"/>
  <c r="J42" i="32"/>
  <c r="J40" i="32"/>
  <c r="J38" i="32"/>
  <c r="J36" i="32"/>
  <c r="J27" i="32"/>
  <c r="D27" i="32"/>
  <c r="G21" i="32"/>
  <c r="H20" i="32"/>
  <c r="J16" i="32"/>
  <c r="K15" i="32"/>
  <c r="G14" i="32"/>
  <c r="H13" i="32"/>
  <c r="E11" i="32"/>
  <c r="G10" i="32"/>
  <c r="H8" i="32"/>
  <c r="E28" i="3"/>
  <c r="F19" i="3" s="1"/>
  <c r="H19" i="3"/>
  <c r="H18" i="3"/>
  <c r="H17" i="3"/>
  <c r="H16" i="3"/>
  <c r="H15" i="3"/>
  <c r="H14" i="3"/>
  <c r="H13" i="3"/>
  <c r="G27" i="32"/>
  <c r="E27" i="32"/>
  <c r="H26" i="32"/>
  <c r="G25" i="32"/>
  <c r="G23" i="32"/>
  <c r="G22" i="32"/>
  <c r="G19" i="32"/>
  <c r="J14" i="32"/>
  <c r="J13" i="32"/>
  <c r="J12" i="32"/>
  <c r="J11" i="32"/>
  <c r="J10" i="32"/>
  <c r="J9" i="32"/>
  <c r="E9" i="32"/>
  <c r="G8" i="32"/>
  <c r="J26" i="32"/>
  <c r="G26" i="32"/>
  <c r="E25" i="32"/>
  <c r="J24" i="32"/>
  <c r="J23" i="32"/>
  <c r="J22" i="32"/>
  <c r="J21" i="32"/>
  <c r="G18" i="32"/>
  <c r="G17" i="32"/>
  <c r="G16" i="32"/>
  <c r="G15" i="32"/>
  <c r="J52" i="32"/>
  <c r="J51" i="32"/>
  <c r="J48" i="32"/>
  <c r="J47" i="32"/>
  <c r="J45" i="32"/>
  <c r="J43" i="32"/>
  <c r="J41" i="32"/>
  <c r="J39" i="32"/>
  <c r="J37" i="32"/>
  <c r="J35" i="32"/>
  <c r="J54" i="32"/>
  <c r="J53" i="32"/>
  <c r="E15" i="32" l="1"/>
  <c r="K27" i="32"/>
  <c r="H27" i="32"/>
  <c r="E13" i="32"/>
  <c r="E17" i="32"/>
  <c r="E19" i="32"/>
  <c r="E23" i="32"/>
  <c r="E21" i="32"/>
  <c r="E8" i="32"/>
  <c r="E14" i="32"/>
  <c r="E10" i="32"/>
  <c r="E20" i="32"/>
  <c r="E16" i="32"/>
  <c r="E18" i="32"/>
  <c r="E22" i="32"/>
  <c r="E24" i="32"/>
  <c r="E12" i="32"/>
  <c r="E26" i="32"/>
  <c r="F13" i="3"/>
  <c r="F15" i="3"/>
  <c r="F17" i="3"/>
  <c r="F27" i="3"/>
  <c r="G28" i="3"/>
  <c r="F9" i="3"/>
  <c r="F10" i="3"/>
  <c r="F11" i="3"/>
  <c r="F12" i="3"/>
  <c r="F21" i="3"/>
  <c r="F22" i="3"/>
  <c r="F23" i="3"/>
  <c r="F24" i="3"/>
  <c r="F25" i="3"/>
  <c r="F26" i="3"/>
  <c r="F28" i="3"/>
  <c r="H28" i="3"/>
  <c r="F14" i="3"/>
  <c r="F16" i="3"/>
  <c r="F18" i="3"/>
  <c r="F20" i="3"/>
  <c r="J10" i="30"/>
  <c r="J14" i="30" l="1"/>
  <c r="K14" i="30"/>
  <c r="K10" i="30"/>
  <c r="K35" i="41" l="1"/>
  <c r="K23" i="41"/>
  <c r="L35" i="41" s="1"/>
  <c r="G12" i="41"/>
  <c r="F61" i="45" l="1"/>
  <c r="H61" i="45"/>
  <c r="J61" i="45"/>
  <c r="L61" i="45"/>
  <c r="M61" i="45"/>
  <c r="H13" i="45"/>
  <c r="F13" i="45"/>
  <c r="D13" i="45"/>
  <c r="I13" i="45"/>
  <c r="I20" i="45" l="1"/>
  <c r="I19" i="45"/>
  <c r="H20" i="45"/>
  <c r="F20" i="45"/>
  <c r="D20" i="45"/>
  <c r="D10" i="45"/>
  <c r="G21" i="45"/>
  <c r="E21" i="45"/>
  <c r="C21" i="45"/>
  <c r="I14" i="45"/>
  <c r="G14" i="45"/>
  <c r="E14" i="45"/>
  <c r="C14" i="45"/>
  <c r="D41" i="15"/>
  <c r="E41" i="15"/>
  <c r="C41" i="15"/>
  <c r="D31" i="15"/>
  <c r="E31" i="15"/>
  <c r="C31" i="15"/>
  <c r="L21" i="15"/>
  <c r="F20" i="43"/>
  <c r="F13" i="43"/>
  <c r="E27" i="15"/>
  <c r="F21" i="15"/>
  <c r="F12" i="15"/>
  <c r="F52" i="34"/>
  <c r="G52" i="34" s="1"/>
  <c r="G46" i="26"/>
  <c r="K43" i="26"/>
  <c r="K42" i="26"/>
  <c r="K44" i="26"/>
  <c r="C46" i="26"/>
  <c r="K39" i="26"/>
  <c r="K36" i="26"/>
  <c r="K32" i="26"/>
  <c r="K33" i="26"/>
  <c r="K35" i="26"/>
  <c r="K37" i="26"/>
  <c r="K38" i="26"/>
  <c r="K40" i="26"/>
  <c r="K41" i="26"/>
  <c r="K45" i="26"/>
  <c r="D32" i="26" l="1"/>
  <c r="D34" i="26"/>
  <c r="D31" i="26"/>
  <c r="F41" i="15"/>
  <c r="F31" i="15"/>
  <c r="I21" i="45"/>
  <c r="H46" i="26"/>
  <c r="I46" i="26"/>
  <c r="J46" i="26" s="1"/>
  <c r="K34" i="26"/>
  <c r="E46" i="26"/>
  <c r="F46" i="26" s="1"/>
  <c r="D45" i="26"/>
  <c r="D43" i="26"/>
  <c r="D41" i="26"/>
  <c r="D39" i="26"/>
  <c r="D37" i="26"/>
  <c r="D35" i="26"/>
  <c r="D33" i="26"/>
  <c r="D46" i="26"/>
  <c r="D44" i="26"/>
  <c r="D42" i="26"/>
  <c r="D40" i="26"/>
  <c r="D38" i="26"/>
  <c r="D36" i="26"/>
  <c r="J39" i="26"/>
  <c r="H44" i="26"/>
  <c r="H40" i="26"/>
  <c r="H36" i="26"/>
  <c r="H32" i="26"/>
  <c r="H31" i="26"/>
  <c r="H42" i="26"/>
  <c r="H38" i="26"/>
  <c r="H34" i="26"/>
  <c r="H45" i="26"/>
  <c r="H43" i="26"/>
  <c r="H41" i="26"/>
  <c r="H39" i="26"/>
  <c r="H37" i="26"/>
  <c r="H35" i="26"/>
  <c r="H33" i="26"/>
  <c r="G48" i="34"/>
  <c r="D36" i="32"/>
  <c r="K36" i="32" s="1"/>
  <c r="D37" i="32"/>
  <c r="K37" i="32" s="1"/>
  <c r="D38" i="32"/>
  <c r="K38" i="32" s="1"/>
  <c r="D39" i="32"/>
  <c r="K39" i="32" s="1"/>
  <c r="D40" i="32"/>
  <c r="K40" i="32" s="1"/>
  <c r="D41" i="32"/>
  <c r="K41" i="32" s="1"/>
  <c r="D42" i="32"/>
  <c r="K42" i="32" s="1"/>
  <c r="D43" i="32"/>
  <c r="K43" i="32" s="1"/>
  <c r="D44" i="32"/>
  <c r="K44" i="32" s="1"/>
  <c r="D45" i="32"/>
  <c r="K45" i="32" s="1"/>
  <c r="D46" i="32"/>
  <c r="K46" i="32" s="1"/>
  <c r="D47" i="32"/>
  <c r="K47" i="32" s="1"/>
  <c r="D50" i="32"/>
  <c r="K50" i="32" s="1"/>
  <c r="D51" i="32"/>
  <c r="K51" i="32" s="1"/>
  <c r="D35" i="32"/>
  <c r="F51" i="32"/>
  <c r="F47" i="32"/>
  <c r="F44" i="32"/>
  <c r="F41" i="32"/>
  <c r="F37" i="32"/>
  <c r="H35" i="32" l="1"/>
  <c r="K35" i="32"/>
  <c r="K46" i="26"/>
  <c r="J32" i="26"/>
  <c r="F31" i="26"/>
  <c r="J40" i="26"/>
  <c r="J36" i="26"/>
  <c r="J35" i="26"/>
  <c r="J43" i="26"/>
  <c r="J31" i="26"/>
  <c r="F45" i="26"/>
  <c r="F37" i="26"/>
  <c r="F38" i="26"/>
  <c r="J34" i="26"/>
  <c r="J38" i="26"/>
  <c r="J33" i="26"/>
  <c r="J37" i="26"/>
  <c r="J41" i="26"/>
  <c r="J45" i="26"/>
  <c r="J42" i="26"/>
  <c r="J44" i="26"/>
  <c r="F32" i="26"/>
  <c r="F41" i="26"/>
  <c r="F34" i="26"/>
  <c r="F42" i="26"/>
  <c r="F35" i="26"/>
  <c r="F39" i="26"/>
  <c r="F43" i="26"/>
  <c r="F33" i="26"/>
  <c r="F36" i="26"/>
  <c r="F40" i="26"/>
  <c r="F44" i="26"/>
  <c r="G47" i="34"/>
  <c r="H47" i="34" s="1"/>
  <c r="F54" i="32"/>
  <c r="D54" i="32"/>
  <c r="K54" i="32" s="1"/>
  <c r="L46" i="26" l="1"/>
  <c r="L31" i="26"/>
  <c r="L38" i="26"/>
  <c r="L42" i="26"/>
  <c r="L41" i="26"/>
  <c r="L45" i="26"/>
  <c r="L44" i="26"/>
  <c r="L35" i="26"/>
  <c r="L40" i="26"/>
  <c r="L37" i="26"/>
  <c r="L39" i="26"/>
  <c r="L33" i="26"/>
  <c r="L36" i="26"/>
  <c r="L43" i="26"/>
  <c r="L32" i="26"/>
  <c r="L34" i="26"/>
  <c r="G54" i="32"/>
  <c r="G35" i="32"/>
  <c r="E54" i="32"/>
  <c r="G52" i="32"/>
  <c r="G50" i="32"/>
  <c r="G47" i="32"/>
  <c r="G45" i="32"/>
  <c r="G43" i="32"/>
  <c r="G41" i="32"/>
  <c r="G39" i="32"/>
  <c r="G37" i="32"/>
  <c r="G49" i="32"/>
  <c r="G53" i="32"/>
  <c r="G51" i="32"/>
  <c r="G48" i="32"/>
  <c r="G46" i="32"/>
  <c r="G44" i="32"/>
  <c r="G42" i="32"/>
  <c r="G40" i="32"/>
  <c r="G38" i="32"/>
  <c r="G36" i="32"/>
  <c r="E36" i="32"/>
  <c r="E52" i="32"/>
  <c r="E48" i="32"/>
  <c r="E44" i="32"/>
  <c r="E40" i="32"/>
  <c r="E35" i="32"/>
  <c r="E50" i="32"/>
  <c r="E46" i="32"/>
  <c r="E42" i="32"/>
  <c r="E38" i="32"/>
  <c r="E53" i="32"/>
  <c r="E51" i="32"/>
  <c r="E49" i="32"/>
  <c r="E47" i="32"/>
  <c r="E45" i="32"/>
  <c r="E43" i="32"/>
  <c r="E41" i="32"/>
  <c r="E39" i="32"/>
  <c r="E37" i="32"/>
  <c r="H54" i="32"/>
  <c r="H36" i="32"/>
  <c r="H38" i="32"/>
  <c r="H40" i="32"/>
  <c r="H42" i="32"/>
  <c r="H44" i="32"/>
  <c r="H47" i="32"/>
  <c r="H51" i="32"/>
  <c r="H37" i="32"/>
  <c r="H39" i="32"/>
  <c r="H41" i="32"/>
  <c r="H43" i="32"/>
  <c r="H45" i="32"/>
  <c r="H50" i="32"/>
  <c r="J16" i="30"/>
  <c r="K17" i="30" s="1"/>
  <c r="I16" i="30"/>
  <c r="H52" i="34" l="1"/>
  <c r="F53" i="34"/>
  <c r="D53" i="34"/>
  <c r="H51" i="34"/>
  <c r="H49" i="34"/>
  <c r="E53" i="34"/>
  <c r="C53" i="34"/>
  <c r="H48" i="34"/>
  <c r="H50" i="34"/>
  <c r="AE20" i="3" l="1"/>
  <c r="K24" i="26" l="1"/>
  <c r="L9" i="26" s="1"/>
  <c r="P10" i="4" l="1"/>
  <c r="O10" i="4" s="1"/>
  <c r="J13" i="4" l="1"/>
  <c r="J12" i="4"/>
  <c r="J11" i="4"/>
  <c r="H13" i="4"/>
  <c r="H12" i="4"/>
  <c r="H11" i="4"/>
  <c r="H10" i="4"/>
  <c r="H14" i="4" s="1"/>
  <c r="F13" i="4"/>
  <c r="F12" i="4"/>
  <c r="F11" i="4"/>
  <c r="F10" i="4"/>
  <c r="F14" i="4" s="1"/>
  <c r="D13" i="4"/>
  <c r="D12" i="4"/>
  <c r="D11" i="4"/>
  <c r="D10" i="4"/>
  <c r="L13" i="4"/>
  <c r="K13" i="4" s="1"/>
  <c r="L12" i="4"/>
  <c r="K12" i="4" s="1"/>
  <c r="L11" i="4"/>
  <c r="K11" i="4" s="1"/>
  <c r="L10" i="4"/>
  <c r="K10" i="4" s="1"/>
  <c r="L100" i="45"/>
  <c r="L101" i="45"/>
  <c r="L102" i="45"/>
  <c r="L99" i="45"/>
  <c r="J100" i="45"/>
  <c r="J101" i="45"/>
  <c r="J102" i="45"/>
  <c r="H100" i="45"/>
  <c r="H101" i="45"/>
  <c r="H102" i="45"/>
  <c r="H99" i="45"/>
  <c r="F100" i="45"/>
  <c r="F101" i="45"/>
  <c r="F102" i="45"/>
  <c r="F99" i="45"/>
  <c r="D100" i="45"/>
  <c r="D101" i="45"/>
  <c r="D102" i="45"/>
  <c r="M100" i="45"/>
  <c r="M101" i="45"/>
  <c r="M102" i="45"/>
  <c r="K103" i="45"/>
  <c r="L103" i="45" s="1"/>
  <c r="I99" i="45"/>
  <c r="J99" i="45" s="1"/>
  <c r="G103" i="45"/>
  <c r="H103" i="45" s="1"/>
  <c r="E103" i="45"/>
  <c r="F103" i="45" s="1"/>
  <c r="C99" i="45"/>
  <c r="L94" i="45"/>
  <c r="L95" i="45"/>
  <c r="L96" i="45"/>
  <c r="L93" i="45"/>
  <c r="J95" i="45"/>
  <c r="J96" i="45"/>
  <c r="J93" i="45"/>
  <c r="H94" i="45"/>
  <c r="H95" i="45"/>
  <c r="H96" i="45"/>
  <c r="H93" i="45"/>
  <c r="F94" i="45"/>
  <c r="F95" i="45"/>
  <c r="F96" i="45"/>
  <c r="F93" i="45"/>
  <c r="D95" i="45"/>
  <c r="D96" i="45"/>
  <c r="D94" i="45"/>
  <c r="D93" i="45"/>
  <c r="M94" i="45"/>
  <c r="M95" i="45"/>
  <c r="M96" i="45"/>
  <c r="M93" i="45"/>
  <c r="K97" i="45"/>
  <c r="I97" i="45"/>
  <c r="G97" i="45"/>
  <c r="E97" i="45"/>
  <c r="F97" i="45" s="1"/>
  <c r="C97" i="45"/>
  <c r="L59" i="45"/>
  <c r="L60" i="45"/>
  <c r="L58" i="45"/>
  <c r="J59" i="45"/>
  <c r="J60" i="45"/>
  <c r="J58" i="45"/>
  <c r="F59" i="45"/>
  <c r="F60" i="45"/>
  <c r="F58" i="45"/>
  <c r="M59" i="45"/>
  <c r="M60" i="45"/>
  <c r="K62" i="45"/>
  <c r="L62" i="45" s="1"/>
  <c r="I62" i="45"/>
  <c r="J62" i="45" s="1"/>
  <c r="G62" i="45"/>
  <c r="E62" i="45"/>
  <c r="F62" i="45" s="1"/>
  <c r="C58" i="45"/>
  <c r="L53" i="45"/>
  <c r="L54" i="45"/>
  <c r="L55" i="45"/>
  <c r="L52" i="45"/>
  <c r="J53" i="45"/>
  <c r="J54" i="45"/>
  <c r="J55" i="45"/>
  <c r="H53" i="45"/>
  <c r="H54" i="45"/>
  <c r="H55" i="45"/>
  <c r="F53" i="45"/>
  <c r="F54" i="45"/>
  <c r="F55" i="45"/>
  <c r="D53" i="45"/>
  <c r="D54" i="45"/>
  <c r="D55" i="45"/>
  <c r="M53" i="45"/>
  <c r="M54" i="45"/>
  <c r="M55" i="45"/>
  <c r="M52" i="45"/>
  <c r="K56" i="45"/>
  <c r="I56" i="45"/>
  <c r="G56" i="45"/>
  <c r="E56" i="45"/>
  <c r="C56" i="45"/>
  <c r="H17" i="45"/>
  <c r="H16" i="45"/>
  <c r="F19" i="45"/>
  <c r="I17" i="45"/>
  <c r="I18" i="45"/>
  <c r="I16" i="45"/>
  <c r="H9" i="45"/>
  <c r="H10" i="45"/>
  <c r="H11" i="45"/>
  <c r="H12" i="45"/>
  <c r="F10" i="45"/>
  <c r="F11" i="45"/>
  <c r="F12" i="45"/>
  <c r="D11" i="45"/>
  <c r="D12" i="45"/>
  <c r="D50" i="19"/>
  <c r="D47" i="19"/>
  <c r="D44" i="19"/>
  <c r="D40" i="19"/>
  <c r="D39" i="19"/>
  <c r="D38" i="19"/>
  <c r="D21" i="19"/>
  <c r="D18" i="19"/>
  <c r="D15" i="19"/>
  <c r="D14" i="19"/>
  <c r="D11" i="19"/>
  <c r="D9" i="19"/>
  <c r="F57" i="19"/>
  <c r="F28" i="19"/>
  <c r="G10" i="19"/>
  <c r="E20" i="17"/>
  <c r="C20" i="17"/>
  <c r="P17" i="17"/>
  <c r="P18" i="17"/>
  <c r="P19" i="17"/>
  <c r="P16" i="17"/>
  <c r="L20" i="17"/>
  <c r="M20" i="17"/>
  <c r="N20" i="17"/>
  <c r="O20" i="17"/>
  <c r="K20" i="17"/>
  <c r="P9" i="17"/>
  <c r="P10" i="17"/>
  <c r="P11" i="17"/>
  <c r="P8" i="17"/>
  <c r="L12" i="17"/>
  <c r="M12" i="17"/>
  <c r="N12" i="17"/>
  <c r="O12" i="17"/>
  <c r="K12" i="17"/>
  <c r="H17" i="17"/>
  <c r="H18" i="17"/>
  <c r="H19" i="17"/>
  <c r="H16" i="17"/>
  <c r="D20" i="17"/>
  <c r="F20" i="17"/>
  <c r="G20" i="17"/>
  <c r="H9" i="17"/>
  <c r="H10" i="17"/>
  <c r="H11" i="17"/>
  <c r="H8" i="17"/>
  <c r="D12" i="17"/>
  <c r="E12" i="17"/>
  <c r="F12" i="17"/>
  <c r="G12" i="17"/>
  <c r="E27" i="17"/>
  <c r="F12" i="16"/>
  <c r="H17" i="16"/>
  <c r="H18" i="16"/>
  <c r="H19" i="16"/>
  <c r="H16" i="16"/>
  <c r="D20" i="16"/>
  <c r="E20" i="16"/>
  <c r="F20" i="16"/>
  <c r="G20" i="16"/>
  <c r="C20" i="16"/>
  <c r="H9" i="16"/>
  <c r="H10" i="16"/>
  <c r="H11" i="16"/>
  <c r="H8" i="16"/>
  <c r="D12" i="16"/>
  <c r="E12" i="16"/>
  <c r="G12" i="16"/>
  <c r="C12" i="16"/>
  <c r="P17" i="16"/>
  <c r="P18" i="16"/>
  <c r="P19" i="16"/>
  <c r="P16" i="16"/>
  <c r="L20" i="16"/>
  <c r="M20" i="16"/>
  <c r="N20" i="16"/>
  <c r="O20" i="16"/>
  <c r="K20" i="16"/>
  <c r="P9" i="16"/>
  <c r="H26" i="16" s="1"/>
  <c r="P10" i="16"/>
  <c r="P11" i="16"/>
  <c r="P8" i="16"/>
  <c r="L12" i="16"/>
  <c r="M12" i="16"/>
  <c r="N12" i="16"/>
  <c r="O12" i="16"/>
  <c r="P12" i="16"/>
  <c r="K12" i="16"/>
  <c r="F26" i="16"/>
  <c r="E38" i="15"/>
  <c r="E39" i="15"/>
  <c r="E40" i="15"/>
  <c r="E37" i="15"/>
  <c r="D38" i="15"/>
  <c r="D39" i="15"/>
  <c r="D40" i="15"/>
  <c r="D37" i="15"/>
  <c r="C38" i="15"/>
  <c r="C39" i="15"/>
  <c r="C40" i="15"/>
  <c r="E28" i="15"/>
  <c r="E29" i="15"/>
  <c r="E30" i="15"/>
  <c r="D28" i="15"/>
  <c r="D29" i="15"/>
  <c r="C29" i="15"/>
  <c r="C28" i="15"/>
  <c r="C27" i="15"/>
  <c r="L18" i="15"/>
  <c r="L19" i="15"/>
  <c r="L20" i="15"/>
  <c r="L17" i="15"/>
  <c r="L9" i="15"/>
  <c r="L10" i="15"/>
  <c r="L11" i="15"/>
  <c r="L8" i="15"/>
  <c r="F18" i="15"/>
  <c r="F38" i="15" s="1"/>
  <c r="F19" i="15"/>
  <c r="F39" i="15" s="1"/>
  <c r="F20" i="15"/>
  <c r="F40" i="15" s="1"/>
  <c r="F17" i="15"/>
  <c r="D42" i="15"/>
  <c r="E42" i="15"/>
  <c r="C42" i="15"/>
  <c r="F9" i="15"/>
  <c r="F10" i="15"/>
  <c r="F11" i="15"/>
  <c r="F8" i="15"/>
  <c r="E32" i="15"/>
  <c r="I9" i="14"/>
  <c r="I10" i="14"/>
  <c r="I11" i="14"/>
  <c r="D12" i="14"/>
  <c r="E12" i="14"/>
  <c r="F12" i="14"/>
  <c r="G12" i="14"/>
  <c r="H12" i="14"/>
  <c r="C8" i="14"/>
  <c r="C12" i="14" s="1"/>
  <c r="D54" i="13"/>
  <c r="D27" i="13"/>
  <c r="H56" i="45" l="1"/>
  <c r="F29" i="15"/>
  <c r="D57" i="19"/>
  <c r="E39" i="19" s="1"/>
  <c r="G38" i="19"/>
  <c r="J56" i="45"/>
  <c r="H97" i="45"/>
  <c r="L13" i="15"/>
  <c r="D56" i="45"/>
  <c r="L56" i="45"/>
  <c r="J97" i="45"/>
  <c r="E40" i="13"/>
  <c r="E48" i="13"/>
  <c r="E52" i="13"/>
  <c r="E42" i="13"/>
  <c r="E49" i="13"/>
  <c r="E53" i="13"/>
  <c r="E38" i="13"/>
  <c r="E43" i="13"/>
  <c r="E50" i="13"/>
  <c r="E39" i="13"/>
  <c r="E46" i="13"/>
  <c r="E51" i="13"/>
  <c r="E36" i="13"/>
  <c r="E41" i="13"/>
  <c r="E45" i="13"/>
  <c r="E47" i="13"/>
  <c r="E44" i="13"/>
  <c r="E37" i="13"/>
  <c r="E35" i="13"/>
  <c r="F37" i="15"/>
  <c r="F22" i="15"/>
  <c r="L22" i="15"/>
  <c r="E27" i="13"/>
  <c r="E11" i="13"/>
  <c r="E15" i="13"/>
  <c r="E23" i="13"/>
  <c r="E12" i="13"/>
  <c r="E16" i="13"/>
  <c r="E24" i="13"/>
  <c r="E13" i="13"/>
  <c r="E21" i="13"/>
  <c r="E25" i="13"/>
  <c r="E22" i="13"/>
  <c r="E26" i="13"/>
  <c r="E9" i="13"/>
  <c r="E20" i="13"/>
  <c r="E17" i="13"/>
  <c r="E14" i="13"/>
  <c r="E8" i="13"/>
  <c r="E19" i="13"/>
  <c r="E18" i="13"/>
  <c r="E10" i="13"/>
  <c r="F56" i="45"/>
  <c r="M58" i="45"/>
  <c r="D97" i="45"/>
  <c r="M97" i="45"/>
  <c r="L97" i="45"/>
  <c r="P20" i="16"/>
  <c r="F13" i="15"/>
  <c r="F32" i="15" s="1"/>
  <c r="F27" i="15"/>
  <c r="D14" i="4"/>
  <c r="M99" i="45"/>
  <c r="C103" i="45"/>
  <c r="D103" i="45" s="1"/>
  <c r="I103" i="45"/>
  <c r="J103" i="45" s="1"/>
  <c r="C32" i="15"/>
  <c r="D32" i="15"/>
  <c r="F30" i="15"/>
  <c r="F28" i="15"/>
  <c r="E44" i="19"/>
  <c r="E50" i="19"/>
  <c r="E54" i="13"/>
  <c r="E46" i="19"/>
  <c r="E48" i="19"/>
  <c r="E52" i="19"/>
  <c r="E56" i="19"/>
  <c r="E57" i="19"/>
  <c r="E41" i="19"/>
  <c r="E45" i="19"/>
  <c r="E49" i="19"/>
  <c r="E51" i="19"/>
  <c r="E55" i="19"/>
  <c r="E40" i="19"/>
  <c r="E47" i="19"/>
  <c r="I8" i="14"/>
  <c r="I12" i="14" s="1"/>
  <c r="D28" i="19"/>
  <c r="C62" i="45"/>
  <c r="D99" i="45"/>
  <c r="N14" i="4"/>
  <c r="M56" i="45"/>
  <c r="N56" i="45" s="1"/>
  <c r="J14" i="4"/>
  <c r="P20" i="17"/>
  <c r="P12" i="17"/>
  <c r="H20" i="17"/>
  <c r="H12" i="17"/>
  <c r="H20" i="16"/>
  <c r="H12" i="16"/>
  <c r="F42" i="15"/>
  <c r="E53" i="19" l="1"/>
  <c r="E43" i="19"/>
  <c r="E54" i="19"/>
  <c r="E42" i="19"/>
  <c r="N97" i="45"/>
  <c r="M103" i="45"/>
  <c r="E13" i="19"/>
  <c r="E17" i="19"/>
  <c r="E19" i="19"/>
  <c r="E23" i="19"/>
  <c r="E25" i="19"/>
  <c r="E27" i="19"/>
  <c r="E28" i="19"/>
  <c r="E12" i="19"/>
  <c r="E16" i="19"/>
  <c r="E20" i="19"/>
  <c r="E22" i="19"/>
  <c r="E24" i="19"/>
  <c r="E26" i="19"/>
  <c r="E10" i="19"/>
  <c r="E14" i="19"/>
  <c r="E15" i="19"/>
  <c r="M62" i="45"/>
  <c r="E18" i="19"/>
  <c r="E9" i="19"/>
  <c r="E21" i="19"/>
  <c r="E11" i="19"/>
  <c r="G42" i="12"/>
  <c r="F42" i="12"/>
  <c r="E42" i="12"/>
  <c r="D42" i="12"/>
  <c r="G40" i="12"/>
  <c r="F40" i="12"/>
  <c r="E40" i="12"/>
  <c r="H40" i="12" s="1"/>
  <c r="D40" i="12"/>
  <c r="G39" i="12"/>
  <c r="F39" i="12"/>
  <c r="E39" i="12"/>
  <c r="D39" i="12"/>
  <c r="G38" i="12"/>
  <c r="F38" i="12"/>
  <c r="E38" i="12"/>
  <c r="D38" i="12"/>
  <c r="G37" i="12"/>
  <c r="F37" i="12"/>
  <c r="E37" i="12"/>
  <c r="H37" i="12" s="1"/>
  <c r="D37" i="12"/>
  <c r="G41" i="12"/>
  <c r="F41" i="12"/>
  <c r="E41" i="12"/>
  <c r="H41" i="12" s="1"/>
  <c r="D41" i="12"/>
  <c r="G36" i="12"/>
  <c r="F36" i="12"/>
  <c r="E36" i="12"/>
  <c r="H36" i="12" s="1"/>
  <c r="D36" i="12"/>
  <c r="G35" i="12"/>
  <c r="F35" i="12"/>
  <c r="E35" i="12"/>
  <c r="D35" i="12"/>
  <c r="G34" i="12"/>
  <c r="F34" i="12"/>
  <c r="E34" i="12"/>
  <c r="D34" i="12"/>
  <c r="G33" i="12"/>
  <c r="F33" i="12"/>
  <c r="E33" i="12"/>
  <c r="D33" i="12"/>
  <c r="G32" i="12"/>
  <c r="F32" i="12"/>
  <c r="E32" i="12"/>
  <c r="D32" i="12"/>
  <c r="G31" i="12"/>
  <c r="F31" i="12"/>
  <c r="E31" i="12"/>
  <c r="H31" i="12" s="1"/>
  <c r="D31" i="12"/>
  <c r="G30" i="12"/>
  <c r="F30" i="12"/>
  <c r="E30" i="12"/>
  <c r="D30" i="12"/>
  <c r="G29" i="12"/>
  <c r="F29" i="12"/>
  <c r="E29" i="12"/>
  <c r="H29" i="12" s="1"/>
  <c r="D29" i="12"/>
  <c r="D43" i="12"/>
  <c r="H30" i="12"/>
  <c r="H38" i="12"/>
  <c r="H42" i="12"/>
  <c r="G28" i="12"/>
  <c r="G43" i="12" s="1"/>
  <c r="F28" i="12"/>
  <c r="E28" i="12"/>
  <c r="E43" i="12" l="1"/>
  <c r="F43" i="12"/>
  <c r="H28" i="12"/>
  <c r="H32" i="12"/>
  <c r="H33" i="12"/>
  <c r="H34" i="12"/>
  <c r="H35" i="12"/>
  <c r="H39" i="12"/>
  <c r="G22" i="12"/>
  <c r="F22" i="12"/>
  <c r="E22" i="12"/>
  <c r="D22" i="12"/>
  <c r="G20" i="12"/>
  <c r="F20" i="12"/>
  <c r="E20" i="12"/>
  <c r="D20" i="12"/>
  <c r="G19" i="12"/>
  <c r="F19" i="12"/>
  <c r="E19" i="12"/>
  <c r="D19" i="12"/>
  <c r="G18" i="12"/>
  <c r="F18" i="12"/>
  <c r="E18" i="12"/>
  <c r="D18" i="12"/>
  <c r="G17" i="12"/>
  <c r="F17" i="12"/>
  <c r="E17" i="12"/>
  <c r="D17" i="12"/>
  <c r="G21" i="12"/>
  <c r="F21" i="12"/>
  <c r="E21" i="12"/>
  <c r="D21" i="12"/>
  <c r="H21" i="12" s="1"/>
  <c r="G16" i="12"/>
  <c r="F16" i="12"/>
  <c r="E16" i="12"/>
  <c r="D16" i="12"/>
  <c r="H16" i="12" s="1"/>
  <c r="G15" i="12"/>
  <c r="E15" i="12"/>
  <c r="F15" i="12"/>
  <c r="D15" i="12"/>
  <c r="H15" i="12" s="1"/>
  <c r="G14" i="12"/>
  <c r="F14" i="12"/>
  <c r="E14" i="12"/>
  <c r="D14" i="12"/>
  <c r="H14" i="12" s="1"/>
  <c r="G13" i="12"/>
  <c r="F13" i="12"/>
  <c r="E13" i="12"/>
  <c r="D13" i="12"/>
  <c r="H13" i="12" s="1"/>
  <c r="G12" i="12"/>
  <c r="F12" i="12"/>
  <c r="E12" i="12"/>
  <c r="D12" i="12"/>
  <c r="H12" i="12" s="1"/>
  <c r="G11" i="12"/>
  <c r="F11" i="12"/>
  <c r="E11" i="12"/>
  <c r="D11" i="12"/>
  <c r="H11" i="12" s="1"/>
  <c r="G10" i="12"/>
  <c r="F10" i="12"/>
  <c r="E10" i="12"/>
  <c r="D10" i="12"/>
  <c r="H10" i="12" s="1"/>
  <c r="G9" i="12"/>
  <c r="F9" i="12"/>
  <c r="E9" i="12"/>
  <c r="D9" i="12"/>
  <c r="D23" i="12" s="1"/>
  <c r="G8" i="12"/>
  <c r="G23" i="12" s="1"/>
  <c r="F8" i="12"/>
  <c r="E8" i="12"/>
  <c r="E23" i="12" s="1"/>
  <c r="N10" i="43"/>
  <c r="N11" i="43"/>
  <c r="N12" i="43"/>
  <c r="N13" i="43"/>
  <c r="J14" i="43"/>
  <c r="K14" i="43"/>
  <c r="L14" i="43"/>
  <c r="M14" i="43"/>
  <c r="I9" i="43"/>
  <c r="I14" i="43" s="1"/>
  <c r="N17" i="43"/>
  <c r="N18" i="43"/>
  <c r="N19" i="43"/>
  <c r="N20" i="43"/>
  <c r="J21" i="43"/>
  <c r="K21" i="43"/>
  <c r="L21" i="43"/>
  <c r="M21" i="43"/>
  <c r="I16" i="43"/>
  <c r="N16" i="43" s="1"/>
  <c r="D14" i="43"/>
  <c r="E14" i="43"/>
  <c r="C14" i="43"/>
  <c r="F14" i="43" s="1"/>
  <c r="F10" i="43"/>
  <c r="F11" i="43"/>
  <c r="F12" i="43"/>
  <c r="F9" i="43"/>
  <c r="F17" i="43"/>
  <c r="F18" i="43"/>
  <c r="F19" i="43"/>
  <c r="D21" i="43"/>
  <c r="E21" i="43"/>
  <c r="C16" i="43"/>
  <c r="C21" i="43" s="1"/>
  <c r="F23" i="12" l="1"/>
  <c r="H17" i="12"/>
  <c r="H18" i="12"/>
  <c r="H19" i="12"/>
  <c r="H20" i="12"/>
  <c r="H22" i="12"/>
  <c r="H43" i="12"/>
  <c r="F16" i="43"/>
  <c r="I21" i="43"/>
  <c r="N9" i="43"/>
  <c r="N14" i="43" s="1"/>
  <c r="H8" i="12"/>
  <c r="H9" i="12"/>
  <c r="N21" i="43"/>
  <c r="F21" i="43"/>
  <c r="H13" i="11"/>
  <c r="H10" i="11"/>
  <c r="H11" i="11"/>
  <c r="H12" i="11"/>
  <c r="H9" i="11"/>
  <c r="D14" i="11"/>
  <c r="E14" i="11"/>
  <c r="F14" i="11"/>
  <c r="G14" i="11"/>
  <c r="C14" i="11"/>
  <c r="H17" i="11"/>
  <c r="H18" i="11"/>
  <c r="H19" i="11"/>
  <c r="D21" i="11"/>
  <c r="E21" i="11"/>
  <c r="F21" i="11"/>
  <c r="G21" i="11"/>
  <c r="C16" i="11"/>
  <c r="H16" i="11" s="1"/>
  <c r="H21" i="11" s="1"/>
  <c r="F20" i="24"/>
  <c r="J20" i="45" s="1"/>
  <c r="F13" i="24"/>
  <c r="J13" i="45" s="1"/>
  <c r="N17" i="24"/>
  <c r="N100" i="45" s="1"/>
  <c r="N18" i="24"/>
  <c r="N101" i="45" s="1"/>
  <c r="N19" i="24"/>
  <c r="N102" i="45" s="1"/>
  <c r="N20" i="24"/>
  <c r="N16" i="24"/>
  <c r="J21" i="24"/>
  <c r="K21" i="24"/>
  <c r="L21" i="24"/>
  <c r="M21" i="24"/>
  <c r="I21" i="24"/>
  <c r="L10" i="24"/>
  <c r="J94" i="45" s="1"/>
  <c r="N11" i="24"/>
  <c r="N95" i="45" s="1"/>
  <c r="N12" i="24"/>
  <c r="N96" i="45" s="1"/>
  <c r="N13" i="24"/>
  <c r="N9" i="24"/>
  <c r="N93" i="45" s="1"/>
  <c r="J14" i="24"/>
  <c r="K14" i="24"/>
  <c r="M14" i="24"/>
  <c r="D9" i="24"/>
  <c r="F9" i="45" s="1"/>
  <c r="F10" i="24"/>
  <c r="J10" i="45" s="1"/>
  <c r="F11" i="24"/>
  <c r="J11" i="45" s="1"/>
  <c r="F12" i="24"/>
  <c r="J12" i="45" s="1"/>
  <c r="D14" i="24"/>
  <c r="F14" i="45" s="1"/>
  <c r="E14" i="24"/>
  <c r="H14" i="45" s="1"/>
  <c r="C9" i="24"/>
  <c r="D9" i="45" s="1"/>
  <c r="E19" i="24"/>
  <c r="H19" i="45" s="1"/>
  <c r="E18" i="24"/>
  <c r="D18" i="24"/>
  <c r="F18" i="45" s="1"/>
  <c r="D17" i="24"/>
  <c r="F17" i="45" s="1"/>
  <c r="D16" i="24"/>
  <c r="C19" i="24"/>
  <c r="D19" i="45" s="1"/>
  <c r="C18" i="24"/>
  <c r="C17" i="24"/>
  <c r="C16" i="24"/>
  <c r="F24" i="24"/>
  <c r="H13" i="23"/>
  <c r="L14" i="24" l="1"/>
  <c r="M6" i="11"/>
  <c r="N99" i="45"/>
  <c r="N103" i="45"/>
  <c r="C21" i="11"/>
  <c r="K6" i="11"/>
  <c r="L6" i="11"/>
  <c r="H14" i="11"/>
  <c r="O6" i="11" s="1"/>
  <c r="N6" i="11"/>
  <c r="F18" i="24"/>
  <c r="J18" i="45" s="1"/>
  <c r="D18" i="45"/>
  <c r="F17" i="24"/>
  <c r="J17" i="45" s="1"/>
  <c r="D17" i="45"/>
  <c r="F19" i="24"/>
  <c r="J19" i="45" s="1"/>
  <c r="E21" i="24"/>
  <c r="H21" i="45" s="1"/>
  <c r="H18" i="45"/>
  <c r="C14" i="24"/>
  <c r="D14" i="45" s="1"/>
  <c r="N10" i="24"/>
  <c r="N94" i="45" s="1"/>
  <c r="H23" i="12"/>
  <c r="F16" i="24"/>
  <c r="J16" i="45" s="1"/>
  <c r="D16" i="45"/>
  <c r="D21" i="24"/>
  <c r="F21" i="45" s="1"/>
  <c r="F16" i="45"/>
  <c r="N21" i="24"/>
  <c r="C21" i="24"/>
  <c r="D21" i="45" s="1"/>
  <c r="F9" i="24"/>
  <c r="J9" i="45" s="1"/>
  <c r="F14" i="24"/>
  <c r="J14" i="45" s="1"/>
  <c r="H19" i="23"/>
  <c r="N61" i="45" s="1"/>
  <c r="H20" i="23"/>
  <c r="G21" i="23"/>
  <c r="F21" i="23"/>
  <c r="E18" i="23"/>
  <c r="H60" i="45" s="1"/>
  <c r="E17" i="23"/>
  <c r="H59" i="45" s="1"/>
  <c r="E16" i="23"/>
  <c r="D21" i="23"/>
  <c r="C16" i="23"/>
  <c r="H10" i="23"/>
  <c r="N53" i="45" s="1"/>
  <c r="H11" i="23"/>
  <c r="N54" i="45" s="1"/>
  <c r="H12" i="23"/>
  <c r="N55" i="45" s="1"/>
  <c r="G14" i="23"/>
  <c r="F9" i="23"/>
  <c r="J52" i="45" s="1"/>
  <c r="D14" i="23"/>
  <c r="E9" i="23"/>
  <c r="H52" i="45" s="1"/>
  <c r="D9" i="23"/>
  <c r="F52" i="45" s="1"/>
  <c r="C9" i="23"/>
  <c r="D52" i="45" s="1"/>
  <c r="N14" i="24" l="1"/>
  <c r="F14" i="23"/>
  <c r="D58" i="45"/>
  <c r="D62" i="45"/>
  <c r="H18" i="23"/>
  <c r="N60" i="45" s="1"/>
  <c r="C14" i="23"/>
  <c r="H14" i="23" s="1"/>
  <c r="H58" i="45"/>
  <c r="H62" i="45"/>
  <c r="E14" i="23"/>
  <c r="C21" i="23"/>
  <c r="H16" i="23"/>
  <c r="H17" i="23"/>
  <c r="N59" i="45" s="1"/>
  <c r="F21" i="24"/>
  <c r="J21" i="45" s="1"/>
  <c r="H9" i="23"/>
  <c r="N52" i="45" s="1"/>
  <c r="E21" i="23"/>
  <c r="N58" i="45" l="1"/>
  <c r="N62" i="45"/>
  <c r="H21" i="23"/>
  <c r="H16" i="5"/>
  <c r="H19" i="5"/>
  <c r="D26" i="5"/>
  <c r="D25" i="5"/>
  <c r="H25" i="5" s="1"/>
  <c r="D24" i="5"/>
  <c r="H24" i="5" s="1"/>
  <c r="D23" i="5"/>
  <c r="D22" i="5"/>
  <c r="H22" i="5" s="1"/>
  <c r="D21" i="5"/>
  <c r="H21" i="5" s="1"/>
  <c r="D20" i="5"/>
  <c r="H20" i="5" s="1"/>
  <c r="D18" i="5"/>
  <c r="H18" i="5" s="1"/>
  <c r="D17" i="5"/>
  <c r="H17" i="5" s="1"/>
  <c r="D15" i="5"/>
  <c r="H15" i="5" s="1"/>
  <c r="D14" i="5"/>
  <c r="H14" i="5" s="1"/>
  <c r="D13" i="5"/>
  <c r="H13" i="5" s="1"/>
  <c r="D12" i="5"/>
  <c r="H12" i="5" s="1"/>
  <c r="D11" i="5"/>
  <c r="H11" i="5" s="1"/>
  <c r="D10" i="5"/>
  <c r="H10" i="5" s="1"/>
  <c r="D9" i="5"/>
  <c r="D8" i="5"/>
  <c r="G25" i="4"/>
  <c r="G24" i="4"/>
  <c r="G23" i="4"/>
  <c r="G22" i="4"/>
  <c r="F25" i="4"/>
  <c r="F26" i="4" s="1"/>
  <c r="E25" i="4"/>
  <c r="E24" i="4"/>
  <c r="E23" i="4"/>
  <c r="E22" i="4"/>
  <c r="E26" i="4" s="1"/>
  <c r="D25" i="4"/>
  <c r="D22" i="4"/>
  <c r="D26" i="4" s="1"/>
  <c r="C25" i="4"/>
  <c r="C24" i="4"/>
  <c r="H24" i="4" s="1"/>
  <c r="C23" i="4"/>
  <c r="C22" i="4"/>
  <c r="L14" i="4"/>
  <c r="P13" i="4"/>
  <c r="O13" i="4" s="1"/>
  <c r="P12" i="4"/>
  <c r="O12" i="4" s="1"/>
  <c r="P11" i="4"/>
  <c r="O11" i="4" s="1"/>
  <c r="F14" i="22"/>
  <c r="F13" i="22"/>
  <c r="F12" i="22"/>
  <c r="F11" i="22"/>
  <c r="E14" i="22"/>
  <c r="E13" i="22"/>
  <c r="E12" i="22"/>
  <c r="E11" i="22"/>
  <c r="D14" i="22"/>
  <c r="D13" i="22"/>
  <c r="D11" i="22"/>
  <c r="C14" i="22"/>
  <c r="C13" i="22"/>
  <c r="C12" i="22"/>
  <c r="C11" i="22"/>
  <c r="I32" i="22"/>
  <c r="G32" i="22"/>
  <c r="E32" i="22"/>
  <c r="C32" i="22"/>
  <c r="K32" i="22"/>
  <c r="G13" i="22"/>
  <c r="G11" i="22"/>
  <c r="H14" i="22"/>
  <c r="H13" i="22"/>
  <c r="H12" i="22"/>
  <c r="H11" i="22"/>
  <c r="H15" i="22" s="1"/>
  <c r="M32" i="22"/>
  <c r="H22" i="4" l="1"/>
  <c r="C15" i="22"/>
  <c r="D15" i="22"/>
  <c r="H23" i="4"/>
  <c r="H25" i="4"/>
  <c r="G26" i="4"/>
  <c r="H8" i="5"/>
  <c r="H27" i="5" s="1"/>
  <c r="E26" i="5"/>
  <c r="H9" i="5"/>
  <c r="E9" i="5"/>
  <c r="E15" i="22"/>
  <c r="F15" i="22"/>
  <c r="H26" i="4"/>
  <c r="P14" i="4"/>
  <c r="H23" i="5"/>
  <c r="H26" i="5"/>
  <c r="R14" i="4"/>
  <c r="C26" i="4"/>
  <c r="F27" i="5"/>
  <c r="G25" i="5"/>
  <c r="D27" i="5"/>
  <c r="E27" i="5" s="1"/>
  <c r="E11" i="5"/>
  <c r="E15" i="5"/>
  <c r="E19" i="5"/>
  <c r="E23" i="5"/>
  <c r="E12" i="5"/>
  <c r="E16" i="5"/>
  <c r="E20" i="5"/>
  <c r="E24" i="5"/>
  <c r="G12" i="22"/>
  <c r="G14" i="22"/>
  <c r="I8" i="5" l="1"/>
  <c r="I22" i="5"/>
  <c r="G11" i="5"/>
  <c r="G24" i="5"/>
  <c r="G8" i="5"/>
  <c r="G22" i="5"/>
  <c r="G10" i="5"/>
  <c r="G9" i="5"/>
  <c r="E8" i="5"/>
  <c r="I11" i="5"/>
  <c r="G20" i="5"/>
  <c r="I19" i="5"/>
  <c r="I16" i="5"/>
  <c r="G12" i="5"/>
  <c r="G17" i="5"/>
  <c r="G16" i="5"/>
  <c r="G27" i="5"/>
  <c r="G21" i="5"/>
  <c r="G13" i="5"/>
  <c r="G26" i="5"/>
  <c r="G18" i="5"/>
  <c r="G14" i="5"/>
  <c r="G23" i="5"/>
  <c r="G19" i="5"/>
  <c r="G15" i="5"/>
  <c r="I15" i="5"/>
  <c r="I23" i="5"/>
  <c r="I14" i="5"/>
  <c r="I12" i="5"/>
  <c r="I9" i="5"/>
  <c r="I13" i="5"/>
  <c r="I17" i="5"/>
  <c r="I21" i="5"/>
  <c r="I25" i="5"/>
  <c r="I10" i="5"/>
  <c r="I18" i="5"/>
  <c r="I26" i="5"/>
  <c r="I27" i="5"/>
  <c r="I24" i="5"/>
  <c r="I20" i="5"/>
  <c r="E22" i="5"/>
  <c r="E18" i="5"/>
  <c r="E14" i="5"/>
  <c r="E10" i="5"/>
  <c r="E25" i="5"/>
  <c r="E21" i="5"/>
  <c r="E17" i="5"/>
  <c r="E13" i="5"/>
  <c r="G15" i="22"/>
  <c r="I44" i="21" l="1"/>
  <c r="C47" i="21"/>
  <c r="H21" i="21"/>
  <c r="G21" i="21"/>
  <c r="F21" i="21"/>
  <c r="I17" i="21"/>
  <c r="D21" i="21"/>
  <c r="C21" i="21"/>
  <c r="I11" i="21"/>
  <c r="I19" i="21"/>
  <c r="H47" i="21"/>
  <c r="I46" i="21"/>
  <c r="G47" i="21"/>
  <c r="F47" i="21"/>
  <c r="E47" i="21"/>
  <c r="D47" i="21"/>
  <c r="I45" i="21"/>
  <c r="I43" i="21"/>
  <c r="K36" i="41"/>
  <c r="K34" i="41"/>
  <c r="K33" i="41"/>
  <c r="C33" i="41"/>
  <c r="I37" i="41"/>
  <c r="I36" i="41"/>
  <c r="I35" i="41"/>
  <c r="I34" i="41"/>
  <c r="J34" i="41" s="1"/>
  <c r="I33" i="41"/>
  <c r="J33" i="41" s="1"/>
  <c r="G37" i="41"/>
  <c r="G36" i="41"/>
  <c r="H36" i="41" s="1"/>
  <c r="G35" i="41"/>
  <c r="G34" i="41"/>
  <c r="G33" i="41"/>
  <c r="H35" i="41"/>
  <c r="E35" i="41"/>
  <c r="F35" i="41" s="1"/>
  <c r="C35" i="41"/>
  <c r="D35" i="41" s="1"/>
  <c r="E37" i="41"/>
  <c r="E36" i="41"/>
  <c r="F36" i="41" s="1"/>
  <c r="E34" i="41"/>
  <c r="F34" i="41" s="1"/>
  <c r="E33" i="41"/>
  <c r="F33" i="41" s="1"/>
  <c r="C37" i="41"/>
  <c r="C36" i="41"/>
  <c r="D36" i="41" s="1"/>
  <c r="C34" i="41"/>
  <c r="J35" i="41"/>
  <c r="J36" i="41"/>
  <c r="J37" i="41"/>
  <c r="H34" i="41"/>
  <c r="H37" i="41"/>
  <c r="H33" i="41"/>
  <c r="F37" i="41"/>
  <c r="D34" i="41"/>
  <c r="D37" i="41"/>
  <c r="D33" i="41"/>
  <c r="M36" i="41"/>
  <c r="M35" i="41"/>
  <c r="M34" i="41"/>
  <c r="M33" i="41"/>
  <c r="M24" i="41"/>
  <c r="M23" i="41"/>
  <c r="M22" i="41"/>
  <c r="M21" i="41"/>
  <c r="K24" i="41"/>
  <c r="K22" i="41"/>
  <c r="L34" i="41" s="1"/>
  <c r="K21" i="41"/>
  <c r="L33" i="41" s="1"/>
  <c r="G13" i="41"/>
  <c r="G11" i="41"/>
  <c r="G10" i="41"/>
  <c r="I13" i="41"/>
  <c r="I12" i="41"/>
  <c r="I11" i="41"/>
  <c r="I10" i="41"/>
  <c r="M38" i="41"/>
  <c r="L15" i="10"/>
  <c r="L16" i="10"/>
  <c r="L19" i="10" s="1"/>
  <c r="L17" i="10"/>
  <c r="L18" i="10"/>
  <c r="L36" i="10"/>
  <c r="L35" i="10"/>
  <c r="L34" i="10"/>
  <c r="L33" i="10"/>
  <c r="L39" i="10"/>
  <c r="L43" i="10" s="1"/>
  <c r="L40" i="10"/>
  <c r="L41" i="10"/>
  <c r="L42" i="10"/>
  <c r="L30" i="10"/>
  <c r="L29" i="10"/>
  <c r="L28" i="10"/>
  <c r="L27" i="10"/>
  <c r="L24" i="10"/>
  <c r="L23" i="10"/>
  <c r="L22" i="10"/>
  <c r="L21" i="10"/>
  <c r="L12" i="10"/>
  <c r="L11" i="10"/>
  <c r="L10" i="10"/>
  <c r="L9" i="10"/>
  <c r="L13" i="10" s="1"/>
  <c r="L25" i="10"/>
  <c r="H11" i="10"/>
  <c r="H10" i="10"/>
  <c r="H9" i="10"/>
  <c r="H12" i="10" s="1"/>
  <c r="H8" i="10"/>
  <c r="F11" i="10"/>
  <c r="F10" i="10"/>
  <c r="F9" i="10"/>
  <c r="F8" i="10"/>
  <c r="D12" i="10"/>
  <c r="E12" i="10"/>
  <c r="G12" i="10"/>
  <c r="C11" i="10"/>
  <c r="I11" i="10" s="1"/>
  <c r="C10" i="10"/>
  <c r="I10" i="10" s="1"/>
  <c r="C9" i="10"/>
  <c r="I9" i="10" s="1"/>
  <c r="C8" i="10"/>
  <c r="AF21" i="9"/>
  <c r="AC22" i="9"/>
  <c r="AE22" i="9"/>
  <c r="AB22" i="9"/>
  <c r="AF15" i="9"/>
  <c r="AF12" i="9"/>
  <c r="AF9" i="9"/>
  <c r="AF10" i="9"/>
  <c r="AF11" i="9"/>
  <c r="AF13" i="9"/>
  <c r="AF14" i="9"/>
  <c r="AF16" i="9"/>
  <c r="AF17" i="9"/>
  <c r="AF18" i="9"/>
  <c r="AF19" i="9"/>
  <c r="AF20" i="9"/>
  <c r="AA11" i="9"/>
  <c r="AA21" i="9"/>
  <c r="AA15" i="9"/>
  <c r="AA14" i="9"/>
  <c r="AA12" i="9"/>
  <c r="AA16" i="9"/>
  <c r="AA20" i="9"/>
  <c r="AA9" i="9"/>
  <c r="X22" i="9"/>
  <c r="S22" i="9"/>
  <c r="Q9" i="9"/>
  <c r="Q10" i="9"/>
  <c r="Q14" i="9"/>
  <c r="Q18" i="9"/>
  <c r="K22" i="9"/>
  <c r="J22" i="9"/>
  <c r="H22" i="9"/>
  <c r="G9" i="9"/>
  <c r="G14" i="9"/>
  <c r="G16" i="9"/>
  <c r="G19" i="9"/>
  <c r="G11" i="9"/>
  <c r="G12" i="9"/>
  <c r="G20" i="9"/>
  <c r="G15" i="9"/>
  <c r="C22" i="9"/>
  <c r="E12" i="8"/>
  <c r="V10" i="9"/>
  <c r="V12" i="9"/>
  <c r="V14" i="9"/>
  <c r="V16" i="9"/>
  <c r="V18" i="9"/>
  <c r="V20" i="9"/>
  <c r="V9" i="9"/>
  <c r="Q12" i="9"/>
  <c r="Q16" i="9"/>
  <c r="Q20" i="9"/>
  <c r="M22" i="9"/>
  <c r="L10" i="9"/>
  <c r="L12" i="9"/>
  <c r="L14" i="9"/>
  <c r="L16" i="9"/>
  <c r="L18" i="9"/>
  <c r="L20" i="9"/>
  <c r="L9" i="9"/>
  <c r="I22" i="9"/>
  <c r="G10" i="9"/>
  <c r="G18" i="9"/>
  <c r="E22" i="9"/>
  <c r="D22" i="9"/>
  <c r="O22" i="9"/>
  <c r="T22" i="9"/>
  <c r="U22" i="9"/>
  <c r="Y22" i="9"/>
  <c r="Z22" i="9"/>
  <c r="AD22" i="9"/>
  <c r="C12" i="10" l="1"/>
  <c r="F12" i="10"/>
  <c r="G15" i="41"/>
  <c r="H10" i="41" s="1"/>
  <c r="N35" i="41"/>
  <c r="N36" i="41"/>
  <c r="N34" i="41"/>
  <c r="H11" i="41"/>
  <c r="I8" i="10"/>
  <c r="I12" i="10" s="1"/>
  <c r="L37" i="10"/>
  <c r="I15" i="41"/>
  <c r="J12" i="41" s="1"/>
  <c r="N33" i="41"/>
  <c r="E38" i="41"/>
  <c r="L36" i="41"/>
  <c r="L31" i="10"/>
  <c r="M26" i="41"/>
  <c r="N21" i="41" s="1"/>
  <c r="I34" i="21"/>
  <c r="I20" i="21"/>
  <c r="I18" i="21"/>
  <c r="I16" i="21"/>
  <c r="E21" i="21"/>
  <c r="I47" i="21"/>
  <c r="C38" i="41"/>
  <c r="AF22" i="9"/>
  <c r="AA19" i="9"/>
  <c r="AA13" i="9"/>
  <c r="AA17" i="9"/>
  <c r="AA18" i="9"/>
  <c r="W22" i="9"/>
  <c r="AA10" i="9"/>
  <c r="V21" i="9"/>
  <c r="V19" i="9"/>
  <c r="V17" i="9"/>
  <c r="V15" i="9"/>
  <c r="V13" i="9"/>
  <c r="V11" i="9"/>
  <c r="R22" i="9"/>
  <c r="Q21" i="9"/>
  <c r="Q19" i="9"/>
  <c r="Q17" i="9"/>
  <c r="Q15" i="9"/>
  <c r="Q13" i="9"/>
  <c r="Q11" i="9"/>
  <c r="N22" i="9"/>
  <c r="L21" i="9"/>
  <c r="L19" i="9"/>
  <c r="L17" i="9"/>
  <c r="L15" i="9"/>
  <c r="L13" i="9"/>
  <c r="L11" i="9"/>
  <c r="F22" i="9"/>
  <c r="G21" i="9"/>
  <c r="G17" i="9"/>
  <c r="G13" i="9"/>
  <c r="P22" i="9"/>
  <c r="G22" i="9" l="1"/>
  <c r="N24" i="41"/>
  <c r="N22" i="41"/>
  <c r="J13" i="41"/>
  <c r="N26" i="41"/>
  <c r="N25" i="41"/>
  <c r="N23" i="41"/>
  <c r="J15" i="41"/>
  <c r="J14" i="41"/>
  <c r="J11" i="41"/>
  <c r="J10" i="41"/>
  <c r="I21" i="21"/>
  <c r="AA22" i="9"/>
  <c r="V22" i="9"/>
  <c r="Q22" i="9"/>
  <c r="L22" i="9"/>
  <c r="O40" i="8" l="1"/>
  <c r="P40" i="8"/>
  <c r="Q40" i="8"/>
  <c r="R40" i="8"/>
  <c r="S40" i="8"/>
  <c r="T40" i="8"/>
  <c r="N40" i="8"/>
  <c r="O39" i="8"/>
  <c r="P39" i="8"/>
  <c r="Q39" i="8"/>
  <c r="R39" i="8"/>
  <c r="S39" i="8"/>
  <c r="T39" i="8"/>
  <c r="N39" i="8"/>
  <c r="O38" i="8"/>
  <c r="P38" i="8"/>
  <c r="Q38" i="8"/>
  <c r="R38" i="8"/>
  <c r="S38" i="8"/>
  <c r="T38" i="8"/>
  <c r="N38" i="8"/>
  <c r="O37" i="8"/>
  <c r="P37" i="8"/>
  <c r="Q37" i="8"/>
  <c r="R37" i="8"/>
  <c r="S37" i="8"/>
  <c r="T37" i="8"/>
  <c r="N37" i="8"/>
  <c r="T36" i="8"/>
  <c r="O36" i="8"/>
  <c r="P36" i="8"/>
  <c r="Q36" i="8"/>
  <c r="R36" i="8"/>
  <c r="S36" i="8"/>
  <c r="N36" i="8"/>
  <c r="H36" i="8"/>
  <c r="H35" i="8"/>
  <c r="H34" i="8"/>
  <c r="H33" i="8"/>
  <c r="H37" i="8" s="1"/>
  <c r="G36" i="8"/>
  <c r="G35" i="8"/>
  <c r="G34" i="8"/>
  <c r="G33" i="8"/>
  <c r="F36" i="8"/>
  <c r="F35" i="8"/>
  <c r="F34" i="8"/>
  <c r="F33" i="8"/>
  <c r="E36" i="8"/>
  <c r="E35" i="8"/>
  <c r="E34" i="8"/>
  <c r="E33" i="8"/>
  <c r="E37" i="8" s="1"/>
  <c r="D36" i="8"/>
  <c r="D35" i="8"/>
  <c r="D34" i="8"/>
  <c r="D33" i="8"/>
  <c r="C36" i="8"/>
  <c r="I36" i="8" s="1"/>
  <c r="C35" i="8"/>
  <c r="I35" i="8" s="1"/>
  <c r="C34" i="8"/>
  <c r="C33" i="8"/>
  <c r="C37" i="8" l="1"/>
  <c r="I34" i="8"/>
  <c r="G37" i="8"/>
  <c r="D37" i="8"/>
  <c r="F37" i="8"/>
  <c r="I33" i="8"/>
  <c r="I37" i="8" s="1"/>
  <c r="H30" i="8"/>
  <c r="H29" i="8"/>
  <c r="H28" i="8"/>
  <c r="H27" i="8"/>
  <c r="G30" i="8"/>
  <c r="G29" i="8"/>
  <c r="G28" i="8"/>
  <c r="G27" i="8"/>
  <c r="F30" i="8"/>
  <c r="F29" i="8"/>
  <c r="F28" i="8"/>
  <c r="F27" i="8"/>
  <c r="E30" i="8"/>
  <c r="E29" i="8"/>
  <c r="E28" i="8"/>
  <c r="E27" i="8"/>
  <c r="D30" i="8"/>
  <c r="D29" i="8"/>
  <c r="D28" i="8"/>
  <c r="D27" i="8"/>
  <c r="C30" i="8"/>
  <c r="C29" i="8"/>
  <c r="C28" i="8"/>
  <c r="C27" i="8"/>
  <c r="H24" i="8"/>
  <c r="H23" i="8"/>
  <c r="H22" i="8"/>
  <c r="H21" i="8"/>
  <c r="G24" i="8"/>
  <c r="G23" i="8"/>
  <c r="G22" i="8"/>
  <c r="G21" i="8"/>
  <c r="F24" i="8"/>
  <c r="F23" i="8"/>
  <c r="F22" i="8"/>
  <c r="F21" i="8"/>
  <c r="E24" i="8"/>
  <c r="E23" i="8"/>
  <c r="E22" i="8"/>
  <c r="E21" i="8"/>
  <c r="D24" i="8"/>
  <c r="D23" i="8"/>
  <c r="D22" i="8"/>
  <c r="D21" i="8"/>
  <c r="C24" i="8"/>
  <c r="C23" i="8"/>
  <c r="C22" i="8"/>
  <c r="C21" i="8"/>
  <c r="H18" i="8"/>
  <c r="H17" i="8"/>
  <c r="H16" i="8"/>
  <c r="H15" i="8"/>
  <c r="G18" i="8"/>
  <c r="G17" i="8"/>
  <c r="G16" i="8"/>
  <c r="G15" i="8"/>
  <c r="F18" i="8"/>
  <c r="F17" i="8"/>
  <c r="F16" i="8"/>
  <c r="F15" i="8"/>
  <c r="E18" i="8"/>
  <c r="E17" i="8"/>
  <c r="E16" i="8"/>
  <c r="E15" i="8"/>
  <c r="D18" i="8"/>
  <c r="D17" i="8"/>
  <c r="D16" i="8"/>
  <c r="D15" i="8"/>
  <c r="C18" i="8"/>
  <c r="C17" i="8"/>
  <c r="C16" i="8"/>
  <c r="C15" i="8"/>
  <c r="H12" i="8"/>
  <c r="H11" i="8"/>
  <c r="H10" i="8"/>
  <c r="H9" i="8"/>
  <c r="G12" i="8"/>
  <c r="G11" i="8"/>
  <c r="G10" i="8"/>
  <c r="G9" i="8"/>
  <c r="F12" i="8"/>
  <c r="F11" i="8"/>
  <c r="F10" i="8"/>
  <c r="F9" i="8"/>
  <c r="E11" i="8"/>
  <c r="E10" i="8"/>
  <c r="E9" i="8"/>
  <c r="D12" i="8"/>
  <c r="D11" i="8"/>
  <c r="D10" i="8"/>
  <c r="D9" i="8"/>
  <c r="C12" i="8"/>
  <c r="C11" i="8"/>
  <c r="C10" i="8"/>
  <c r="C9" i="8"/>
  <c r="C19" i="8"/>
  <c r="E36" i="7"/>
  <c r="E35" i="7"/>
  <c r="E34" i="7"/>
  <c r="E33" i="7"/>
  <c r="D36" i="7"/>
  <c r="D35" i="7"/>
  <c r="D34" i="7"/>
  <c r="D33" i="7"/>
  <c r="C36" i="7"/>
  <c r="C35" i="7"/>
  <c r="C34" i="7"/>
  <c r="C33" i="7"/>
  <c r="E43" i="7"/>
  <c r="D43" i="7"/>
  <c r="C43" i="7"/>
  <c r="E30" i="7"/>
  <c r="E29" i="7"/>
  <c r="E28" i="7"/>
  <c r="E27" i="7"/>
  <c r="D30" i="7"/>
  <c r="D29" i="7"/>
  <c r="D28" i="7"/>
  <c r="D27" i="7"/>
  <c r="C30" i="7"/>
  <c r="C29" i="7"/>
  <c r="C28" i="7"/>
  <c r="C27" i="7"/>
  <c r="E24" i="7"/>
  <c r="E23" i="7"/>
  <c r="E22" i="7"/>
  <c r="E21" i="7"/>
  <c r="D24" i="7"/>
  <c r="D23" i="7"/>
  <c r="D22" i="7"/>
  <c r="D21" i="7"/>
  <c r="C24" i="7"/>
  <c r="C23" i="7"/>
  <c r="C22" i="7"/>
  <c r="C21" i="7"/>
  <c r="C25" i="7" s="1"/>
  <c r="E18" i="7"/>
  <c r="E17" i="7"/>
  <c r="E16" i="7"/>
  <c r="E15" i="7"/>
  <c r="D18" i="7"/>
  <c r="D17" i="7"/>
  <c r="D16" i="7"/>
  <c r="D15" i="7"/>
  <c r="C18" i="7"/>
  <c r="C17" i="7"/>
  <c r="C16" i="7"/>
  <c r="C15" i="7"/>
  <c r="E12" i="7"/>
  <c r="E11" i="7"/>
  <c r="E10" i="7"/>
  <c r="E9" i="7"/>
  <c r="D12" i="7"/>
  <c r="D11" i="7"/>
  <c r="D10" i="7"/>
  <c r="D9" i="7"/>
  <c r="C12" i="7"/>
  <c r="C11" i="7"/>
  <c r="C10" i="7"/>
  <c r="C9" i="7"/>
  <c r="E13" i="7"/>
  <c r="D36" i="6"/>
  <c r="D35" i="6"/>
  <c r="D34" i="6"/>
  <c r="D33" i="6"/>
  <c r="C36" i="6"/>
  <c r="C35" i="6"/>
  <c r="C34" i="6"/>
  <c r="C33" i="6"/>
  <c r="E34" i="6"/>
  <c r="E35" i="6"/>
  <c r="E36" i="6"/>
  <c r="E33" i="6"/>
  <c r="E41" i="6"/>
  <c r="E42" i="6"/>
  <c r="D43" i="6"/>
  <c r="C40" i="6"/>
  <c r="E40" i="6" s="1"/>
  <c r="C39" i="6"/>
  <c r="E39" i="6" s="1"/>
  <c r="D30" i="6"/>
  <c r="D29" i="6"/>
  <c r="D28" i="6"/>
  <c r="D31" i="6" s="1"/>
  <c r="D27" i="6"/>
  <c r="C30" i="6"/>
  <c r="C29" i="6"/>
  <c r="E29" i="6" s="1"/>
  <c r="C28" i="6"/>
  <c r="E28" i="6" s="1"/>
  <c r="C27" i="6"/>
  <c r="E27" i="6" s="1"/>
  <c r="D24" i="6"/>
  <c r="D23" i="6"/>
  <c r="D22" i="6"/>
  <c r="D21" i="6"/>
  <c r="C24" i="6"/>
  <c r="C23" i="6"/>
  <c r="C22" i="6"/>
  <c r="C21" i="6"/>
  <c r="D18" i="6"/>
  <c r="D17" i="6"/>
  <c r="D16" i="6"/>
  <c r="D15" i="6"/>
  <c r="C18" i="6"/>
  <c r="C17" i="6"/>
  <c r="E17" i="6" s="1"/>
  <c r="C16" i="6"/>
  <c r="E16" i="6" s="1"/>
  <c r="C15" i="6"/>
  <c r="E15" i="6" s="1"/>
  <c r="D12" i="6"/>
  <c r="D11" i="6"/>
  <c r="D10" i="6"/>
  <c r="D9" i="6"/>
  <c r="D13" i="6" s="1"/>
  <c r="C12" i="6"/>
  <c r="C11" i="6"/>
  <c r="C10" i="6"/>
  <c r="C9" i="6"/>
  <c r="E9" i="6" s="1"/>
  <c r="E30" i="6"/>
  <c r="E22" i="6"/>
  <c r="E24" i="6"/>
  <c r="E18" i="6"/>
  <c r="E10" i="6"/>
  <c r="E11" i="6"/>
  <c r="E12" i="6"/>
  <c r="L24" i="26"/>
  <c r="L10" i="26"/>
  <c r="L11" i="26"/>
  <c r="L12" i="26"/>
  <c r="L13" i="26"/>
  <c r="L14" i="26"/>
  <c r="L15" i="26"/>
  <c r="L16" i="26"/>
  <c r="L17" i="26"/>
  <c r="L18" i="26"/>
  <c r="L19" i="26"/>
  <c r="L20" i="26"/>
  <c r="L21" i="26"/>
  <c r="L22" i="26"/>
  <c r="L23" i="26"/>
  <c r="I24" i="26"/>
  <c r="J10" i="26" s="1"/>
  <c r="C13" i="7" l="1"/>
  <c r="E25" i="7"/>
  <c r="F25" i="8"/>
  <c r="D25" i="7"/>
  <c r="J23" i="26"/>
  <c r="J21" i="26"/>
  <c r="J19" i="26"/>
  <c r="J17" i="26"/>
  <c r="J15" i="26"/>
  <c r="J13" i="26"/>
  <c r="J11" i="26"/>
  <c r="J24" i="26"/>
  <c r="J9" i="26"/>
  <c r="J22" i="26"/>
  <c r="J20" i="26"/>
  <c r="J18" i="26"/>
  <c r="J16" i="26"/>
  <c r="J14" i="26"/>
  <c r="J12" i="26"/>
  <c r="E23" i="6"/>
  <c r="C43" i="6"/>
  <c r="E43" i="6" s="1"/>
  <c r="C37" i="7"/>
  <c r="I9" i="8"/>
  <c r="C25" i="8"/>
  <c r="E31" i="8"/>
  <c r="H31" i="8"/>
  <c r="C31" i="8"/>
  <c r="C13" i="8"/>
  <c r="G31" i="8"/>
  <c r="F31" i="8"/>
  <c r="D31" i="8"/>
  <c r="H25" i="8"/>
  <c r="G25" i="8"/>
  <c r="E25" i="8"/>
  <c r="D25" i="8"/>
  <c r="H19" i="8"/>
  <c r="G19" i="8"/>
  <c r="F19" i="8"/>
  <c r="E19" i="8"/>
  <c r="D19" i="8"/>
  <c r="H13" i="8"/>
  <c r="G13" i="8"/>
  <c r="F13" i="8"/>
  <c r="E13" i="8"/>
  <c r="D13" i="8"/>
  <c r="E37" i="7"/>
  <c r="D37" i="7"/>
  <c r="E31" i="7"/>
  <c r="D31" i="7"/>
  <c r="C31" i="7"/>
  <c r="E19" i="7"/>
  <c r="D19" i="7"/>
  <c r="C19" i="7"/>
  <c r="D13" i="7"/>
  <c r="D37" i="6"/>
  <c r="C37" i="6"/>
  <c r="C31" i="6"/>
  <c r="E31" i="6" s="1"/>
  <c r="D25" i="6"/>
  <c r="C25" i="6"/>
  <c r="E21" i="6"/>
  <c r="D19" i="6"/>
  <c r="C19" i="6"/>
  <c r="C13" i="6"/>
  <c r="E24" i="26"/>
  <c r="G24" i="26"/>
  <c r="E19" i="6" l="1"/>
  <c r="H10" i="26"/>
  <c r="H12" i="26"/>
  <c r="H14" i="26"/>
  <c r="H16" i="26"/>
  <c r="H18" i="26"/>
  <c r="H20" i="26"/>
  <c r="H22" i="26"/>
  <c r="H9" i="26"/>
  <c r="H24" i="26"/>
  <c r="H11" i="26"/>
  <c r="H13" i="26"/>
  <c r="H15" i="26"/>
  <c r="H17" i="26"/>
  <c r="H19" i="26"/>
  <c r="H21" i="26"/>
  <c r="H23" i="26"/>
  <c r="F11" i="26"/>
  <c r="F13" i="26"/>
  <c r="F15" i="26"/>
  <c r="F17" i="26"/>
  <c r="F19" i="26"/>
  <c r="F21" i="26"/>
  <c r="F23" i="26"/>
  <c r="F9" i="26"/>
  <c r="F10" i="26"/>
  <c r="F12" i="26"/>
  <c r="F14" i="26"/>
  <c r="F16" i="26"/>
  <c r="F18" i="26"/>
  <c r="F20" i="26"/>
  <c r="F22" i="26"/>
  <c r="F24" i="26"/>
  <c r="D11" i="26"/>
  <c r="D13" i="26"/>
  <c r="D15" i="26"/>
  <c r="D17" i="26"/>
  <c r="D19" i="26"/>
  <c r="D21" i="26"/>
  <c r="D23" i="26"/>
  <c r="D9" i="26"/>
  <c r="D10" i="26"/>
  <c r="D12" i="26"/>
  <c r="D14" i="26"/>
  <c r="D16" i="26"/>
  <c r="D18" i="26"/>
  <c r="D20" i="26"/>
  <c r="D22" i="26"/>
  <c r="D24" i="26"/>
  <c r="I13" i="8"/>
  <c r="E37" i="6"/>
  <c r="E25" i="6"/>
  <c r="E13" i="6"/>
  <c r="J17" i="25" l="1"/>
  <c r="J16" i="25"/>
  <c r="J15" i="25"/>
  <c r="J14" i="25"/>
  <c r="J13" i="25"/>
  <c r="J12" i="25"/>
  <c r="J11" i="25"/>
  <c r="J10" i="25"/>
  <c r="J9" i="25"/>
  <c r="J12" i="36"/>
  <c r="I10" i="36"/>
  <c r="I9" i="36"/>
  <c r="I8" i="36"/>
  <c r="J11" i="36"/>
  <c r="I13" i="36" l="1"/>
  <c r="S8" i="36"/>
  <c r="J8" i="36"/>
  <c r="H12" i="36"/>
  <c r="H11" i="36"/>
  <c r="H10" i="36"/>
  <c r="H9" i="36"/>
  <c r="H8" i="36"/>
  <c r="G12" i="36"/>
  <c r="G11" i="36"/>
  <c r="G10" i="36"/>
  <c r="G9" i="36"/>
  <c r="G8" i="36"/>
  <c r="F12" i="36"/>
  <c r="F11" i="36"/>
  <c r="F10" i="36"/>
  <c r="F9" i="36"/>
  <c r="F8" i="36"/>
  <c r="E12" i="36"/>
  <c r="E11" i="36"/>
  <c r="E10" i="36"/>
  <c r="E9" i="36"/>
  <c r="E8" i="36"/>
  <c r="D12" i="36"/>
  <c r="D11" i="36"/>
  <c r="D10" i="36"/>
  <c r="D9" i="36"/>
  <c r="D8" i="36"/>
  <c r="C12" i="36"/>
  <c r="C11" i="36"/>
  <c r="C10" i="36"/>
  <c r="C9" i="36"/>
  <c r="C8" i="36"/>
  <c r="I11" i="35"/>
  <c r="I10" i="35"/>
  <c r="I8" i="35"/>
  <c r="I9" i="35"/>
  <c r="H12" i="35"/>
  <c r="H11" i="35"/>
  <c r="H10" i="35"/>
  <c r="H9" i="35"/>
  <c r="H8" i="35"/>
  <c r="G12" i="35"/>
  <c r="G11" i="35"/>
  <c r="G10" i="35"/>
  <c r="G9" i="35"/>
  <c r="G8" i="35"/>
  <c r="F12" i="35"/>
  <c r="F11" i="35"/>
  <c r="F10" i="35"/>
  <c r="F9" i="35"/>
  <c r="F8" i="35"/>
  <c r="E12" i="35"/>
  <c r="I12" i="35"/>
  <c r="E9" i="35"/>
  <c r="E8" i="35"/>
  <c r="D11" i="35"/>
  <c r="D10" i="35"/>
  <c r="D8" i="35"/>
  <c r="C8" i="35"/>
  <c r="C13" i="36" l="1"/>
  <c r="E13" i="36"/>
  <c r="J13" i="36"/>
  <c r="T8" i="36" s="1"/>
  <c r="T10" i="36"/>
  <c r="T11" i="36"/>
  <c r="H13" i="36"/>
  <c r="G13" i="36"/>
  <c r="F13" i="36"/>
  <c r="P9" i="36" s="1"/>
  <c r="D13" i="36"/>
  <c r="J11" i="35"/>
  <c r="J10" i="35"/>
  <c r="J9" i="35"/>
  <c r="T9" i="36" l="1"/>
  <c r="T13" i="36"/>
  <c r="T12" i="36"/>
  <c r="AH21" i="3"/>
  <c r="AH20" i="3"/>
  <c r="AG21" i="3"/>
  <c r="AG20" i="3"/>
  <c r="AF21" i="3"/>
  <c r="AF20" i="3"/>
  <c r="AE21" i="3"/>
  <c r="AB10" i="3"/>
  <c r="E11" i="35" l="1"/>
  <c r="E10" i="35"/>
  <c r="D9" i="35"/>
  <c r="D13" i="35" s="1"/>
  <c r="C11" i="35"/>
  <c r="C10" i="35"/>
  <c r="C9" i="35"/>
  <c r="I13" i="35"/>
  <c r="S8" i="35" s="1"/>
  <c r="J13" i="35"/>
  <c r="T8" i="35" l="1"/>
  <c r="T13" i="35"/>
  <c r="T12" i="35"/>
  <c r="T11" i="35"/>
  <c r="T9" i="35"/>
  <c r="T10" i="35"/>
  <c r="S9" i="35"/>
  <c r="S11" i="35"/>
  <c r="N8" i="35"/>
  <c r="N10" i="35"/>
  <c r="N13" i="35"/>
  <c r="C13" i="35"/>
  <c r="M8" i="35" s="1"/>
  <c r="H13" i="35"/>
  <c r="R9" i="35" s="1"/>
  <c r="G13" i="35"/>
  <c r="Q8" i="35" s="1"/>
  <c r="F13" i="35"/>
  <c r="P13" i="35" s="1"/>
  <c r="E13" i="35"/>
  <c r="O8" i="35" s="1"/>
  <c r="S13" i="35"/>
  <c r="S12" i="35"/>
  <c r="S10" i="35"/>
  <c r="N9" i="35"/>
  <c r="N11" i="35"/>
  <c r="M13" i="35"/>
  <c r="C28" i="39"/>
  <c r="E24" i="29"/>
  <c r="F21" i="29"/>
  <c r="F20" i="29"/>
  <c r="F19" i="29"/>
  <c r="L12" i="29"/>
  <c r="M12" i="29" s="1"/>
  <c r="L11" i="29"/>
  <c r="M11" i="29" s="1"/>
  <c r="L10" i="29"/>
  <c r="M10" i="29" s="1"/>
  <c r="L9" i="29"/>
  <c r="F9" i="29" s="1"/>
  <c r="F24" i="29" s="1"/>
  <c r="J12" i="29"/>
  <c r="K12" i="29" s="1"/>
  <c r="J11" i="29"/>
  <c r="K11" i="29" s="1"/>
  <c r="J10" i="29"/>
  <c r="K10" i="29" s="1"/>
  <c r="J9" i="29"/>
  <c r="F22" i="29" s="1"/>
  <c r="H12" i="29"/>
  <c r="I12" i="29" s="1"/>
  <c r="H11" i="29"/>
  <c r="I11" i="29" s="1"/>
  <c r="G11" i="29" s="1"/>
  <c r="H10" i="29"/>
  <c r="I10" i="29" s="1"/>
  <c r="E9" i="29"/>
  <c r="D12" i="29"/>
  <c r="E12" i="29" s="1"/>
  <c r="D11" i="29"/>
  <c r="D13" i="29" s="1"/>
  <c r="G10" i="29" l="1"/>
  <c r="E11" i="29"/>
  <c r="H13" i="29"/>
  <c r="J13" i="29"/>
  <c r="L13" i="29"/>
  <c r="F23" i="29"/>
  <c r="H28" i="39"/>
  <c r="M9" i="35"/>
  <c r="K9" i="29"/>
  <c r="M9" i="29"/>
  <c r="G9" i="29" s="1"/>
  <c r="Q10" i="35"/>
  <c r="Q12" i="35"/>
  <c r="Q13" i="35"/>
  <c r="Q9" i="35"/>
  <c r="P12" i="35"/>
  <c r="P10" i="35"/>
  <c r="M11" i="35"/>
  <c r="M10" i="35"/>
  <c r="P9" i="35"/>
  <c r="P11" i="35"/>
  <c r="P8" i="35"/>
  <c r="Q11" i="35"/>
  <c r="R12" i="35"/>
  <c r="R10" i="35"/>
  <c r="R8" i="35"/>
  <c r="R13" i="35"/>
  <c r="R11" i="35"/>
  <c r="O10" i="35"/>
  <c r="O13" i="35"/>
  <c r="O9" i="35"/>
  <c r="O12" i="35"/>
  <c r="O11" i="35"/>
  <c r="I10" i="39" l="1"/>
  <c r="I12" i="39"/>
  <c r="I14" i="39"/>
  <c r="I22" i="39"/>
  <c r="I27" i="39"/>
  <c r="F28" i="39"/>
  <c r="I9" i="39"/>
  <c r="I11" i="39"/>
  <c r="I19" i="39"/>
  <c r="I25" i="39"/>
  <c r="I26" i="39"/>
  <c r="I20" i="39"/>
  <c r="I15" i="39"/>
  <c r="I23" i="39"/>
  <c r="I16" i="39"/>
  <c r="I18" i="39"/>
  <c r="I21" i="39"/>
  <c r="I24" i="39"/>
  <c r="I13" i="39"/>
  <c r="I17" i="39"/>
  <c r="D28" i="39"/>
  <c r="I28" i="39"/>
  <c r="C13" i="29"/>
  <c r="E13" i="29" s="1"/>
  <c r="G28" i="39" l="1"/>
  <c r="G27" i="39"/>
  <c r="G11" i="39"/>
  <c r="G22" i="39"/>
  <c r="G13" i="39"/>
  <c r="G16" i="39"/>
  <c r="G10" i="39"/>
  <c r="G23" i="39"/>
  <c r="G18" i="39"/>
  <c r="G25" i="39"/>
  <c r="G9" i="39"/>
  <c r="G12" i="39"/>
  <c r="G15" i="39"/>
  <c r="G26" i="39"/>
  <c r="G20" i="39"/>
  <c r="G19" i="39"/>
  <c r="G14" i="39"/>
  <c r="G21" i="39"/>
  <c r="G24" i="39"/>
  <c r="G17" i="39"/>
  <c r="E11" i="39"/>
  <c r="E15" i="39"/>
  <c r="E19" i="39"/>
  <c r="E23" i="39"/>
  <c r="E27" i="39"/>
  <c r="E22" i="39"/>
  <c r="E17" i="39"/>
  <c r="E12" i="39"/>
  <c r="E24" i="39"/>
  <c r="E14" i="39"/>
  <c r="E13" i="39"/>
  <c r="E16" i="39"/>
  <c r="E18" i="39"/>
  <c r="E10" i="39"/>
  <c r="E25" i="39"/>
  <c r="E9" i="39"/>
  <c r="E20" i="39"/>
  <c r="E26" i="39"/>
  <c r="E21" i="39"/>
  <c r="K13" i="29"/>
  <c r="E28" i="39"/>
  <c r="M13" i="29"/>
  <c r="I13" i="29"/>
  <c r="AA20" i="3"/>
  <c r="T20" i="3"/>
  <c r="Z20" i="3"/>
  <c r="U21" i="3"/>
  <c r="U20" i="3"/>
  <c r="T21" i="3"/>
  <c r="R21" i="3"/>
  <c r="R20" i="3"/>
  <c r="Q21" i="3"/>
  <c r="Q20" i="3"/>
  <c r="O21" i="3"/>
  <c r="O20" i="3"/>
  <c r="N21" i="3"/>
  <c r="N20" i="3"/>
  <c r="L21" i="3"/>
  <c r="L20" i="3"/>
  <c r="K21" i="3"/>
  <c r="K20" i="3"/>
  <c r="E16" i="30"/>
  <c r="F16" i="30"/>
  <c r="G16" i="30"/>
  <c r="H16" i="30"/>
  <c r="D16" i="30"/>
  <c r="E17" i="30" l="1"/>
  <c r="Y20" i="3"/>
  <c r="M20" i="3"/>
  <c r="M21" i="3"/>
  <c r="Q22" i="3"/>
  <c r="AB21" i="3"/>
  <c r="AB20" i="3"/>
  <c r="AJ20" i="3" s="1"/>
  <c r="Y21" i="3"/>
  <c r="V21" i="3"/>
  <c r="V20" i="3"/>
  <c r="S21" i="3"/>
  <c r="S20" i="3"/>
  <c r="P21" i="3"/>
  <c r="P20" i="3"/>
  <c r="N22" i="3"/>
  <c r="O22" i="3"/>
  <c r="R22" i="3"/>
  <c r="U22" i="3"/>
  <c r="AB22" i="3"/>
  <c r="L22" i="3"/>
  <c r="K22" i="3"/>
  <c r="AD11" i="3"/>
  <c r="AD10" i="3"/>
  <c r="AD9" i="3"/>
  <c r="AC11" i="3"/>
  <c r="AC10" i="3"/>
  <c r="AC9" i="3"/>
  <c r="AB11" i="3"/>
  <c r="AB9" i="3"/>
  <c r="AA11" i="3"/>
  <c r="AA10" i="3"/>
  <c r="AA9" i="3"/>
  <c r="Z11" i="3"/>
  <c r="Z10" i="3"/>
  <c r="Z9" i="3"/>
  <c r="AE12" i="3"/>
  <c r="Y22" i="3" l="1"/>
  <c r="P22" i="3"/>
  <c r="S22" i="3"/>
  <c r="M22" i="3"/>
  <c r="V22" i="3"/>
  <c r="T22" i="3"/>
  <c r="S10" i="3" l="1"/>
  <c r="V11" i="3"/>
  <c r="V10" i="3"/>
  <c r="F17" i="30" l="1"/>
  <c r="G17" i="30"/>
  <c r="H17" i="30"/>
  <c r="I17" i="30"/>
  <c r="J17" i="30"/>
  <c r="K12" i="30" l="1"/>
  <c r="J12" i="30"/>
  <c r="F10" i="30" l="1"/>
  <c r="G10" i="30"/>
  <c r="H10" i="30"/>
  <c r="I10" i="30"/>
  <c r="E10" i="30"/>
  <c r="E8" i="30"/>
  <c r="F8" i="30"/>
  <c r="G8" i="30"/>
  <c r="H8" i="30"/>
  <c r="I8" i="30"/>
  <c r="K8" i="30"/>
  <c r="J8" i="30"/>
  <c r="H48" i="11" l="1"/>
  <c r="H47" i="11"/>
  <c r="H46" i="11"/>
  <c r="H45" i="11"/>
  <c r="H44" i="11"/>
  <c r="H41" i="11"/>
  <c r="H40" i="11"/>
  <c r="H39" i="11"/>
  <c r="H38" i="11"/>
  <c r="H37" i="11"/>
  <c r="G49" i="11"/>
  <c r="F49" i="11"/>
  <c r="E49" i="11"/>
  <c r="D49" i="11"/>
  <c r="C49" i="11"/>
  <c r="G42" i="11"/>
  <c r="F42" i="11"/>
  <c r="E42" i="11"/>
  <c r="D42" i="11"/>
  <c r="C42" i="11"/>
  <c r="H34" i="11"/>
  <c r="H33" i="11"/>
  <c r="H32" i="11"/>
  <c r="H31" i="11"/>
  <c r="H30" i="11"/>
  <c r="G35" i="11"/>
  <c r="F35" i="11"/>
  <c r="E35" i="11"/>
  <c r="D35" i="11"/>
  <c r="C35" i="11"/>
  <c r="H24" i="11"/>
  <c r="H25" i="11"/>
  <c r="H26" i="11"/>
  <c r="H27" i="11"/>
  <c r="H23" i="11"/>
  <c r="D28" i="11"/>
  <c r="E28" i="11"/>
  <c r="F28" i="11"/>
  <c r="G28" i="11"/>
  <c r="C28" i="11"/>
  <c r="G39" i="19"/>
  <c r="G40" i="19"/>
  <c r="G41" i="19"/>
  <c r="G42" i="19"/>
  <c r="G43" i="19"/>
  <c r="G44" i="19"/>
  <c r="G45" i="19"/>
  <c r="G46" i="19"/>
  <c r="G47" i="19"/>
  <c r="G48" i="19"/>
  <c r="G50" i="19"/>
  <c r="G51" i="19"/>
  <c r="G54" i="19"/>
  <c r="G56" i="19"/>
  <c r="G28" i="19"/>
  <c r="G11" i="19"/>
  <c r="G12" i="19"/>
  <c r="G13" i="19"/>
  <c r="G14" i="19"/>
  <c r="G15" i="19"/>
  <c r="G16" i="19"/>
  <c r="G17" i="19"/>
  <c r="G18" i="19"/>
  <c r="G19" i="19"/>
  <c r="G21" i="19"/>
  <c r="G22" i="19"/>
  <c r="G27" i="19"/>
  <c r="G9" i="19"/>
  <c r="M49" i="43"/>
  <c r="L49" i="43"/>
  <c r="K49" i="43"/>
  <c r="J49" i="43"/>
  <c r="I49" i="43"/>
  <c r="E49" i="43"/>
  <c r="D49" i="43"/>
  <c r="C49" i="43"/>
  <c r="N48" i="43"/>
  <c r="F48" i="43"/>
  <c r="N47" i="43"/>
  <c r="F47" i="43"/>
  <c r="N46" i="43"/>
  <c r="F46" i="43"/>
  <c r="N45" i="43"/>
  <c r="F45" i="43"/>
  <c r="N44" i="43"/>
  <c r="F44" i="43"/>
  <c r="M42" i="43"/>
  <c r="L42" i="43"/>
  <c r="K42" i="43"/>
  <c r="J42" i="43"/>
  <c r="I42" i="43"/>
  <c r="E42" i="43"/>
  <c r="D42" i="43"/>
  <c r="C42" i="43"/>
  <c r="N41" i="43"/>
  <c r="F41" i="43"/>
  <c r="N40" i="43"/>
  <c r="F40" i="43"/>
  <c r="N39" i="43"/>
  <c r="F39" i="43"/>
  <c r="N38" i="43"/>
  <c r="F38" i="43"/>
  <c r="N37" i="43"/>
  <c r="F37" i="43"/>
  <c r="M35" i="43"/>
  <c r="L35" i="43"/>
  <c r="K35" i="43"/>
  <c r="J35" i="43"/>
  <c r="I35" i="43"/>
  <c r="C35" i="43"/>
  <c r="N34" i="43"/>
  <c r="F34" i="43"/>
  <c r="N33" i="43"/>
  <c r="E35" i="43"/>
  <c r="D35" i="43"/>
  <c r="N32" i="43"/>
  <c r="F32" i="43"/>
  <c r="N31" i="43"/>
  <c r="F31" i="43"/>
  <c r="N30" i="43"/>
  <c r="F30" i="43"/>
  <c r="M28" i="43"/>
  <c r="L28" i="43"/>
  <c r="K28" i="43"/>
  <c r="J28" i="43"/>
  <c r="I28" i="43"/>
  <c r="N27" i="43"/>
  <c r="F27" i="43"/>
  <c r="N26" i="43"/>
  <c r="E28" i="43"/>
  <c r="D28" i="43"/>
  <c r="C28" i="43"/>
  <c r="N25" i="43"/>
  <c r="F25" i="43"/>
  <c r="N24" i="43"/>
  <c r="F24" i="43"/>
  <c r="N23" i="43"/>
  <c r="F23" i="43"/>
  <c r="H28" i="11" l="1"/>
  <c r="H35" i="11"/>
  <c r="H42" i="11"/>
  <c r="H49" i="11"/>
  <c r="F49" i="43"/>
  <c r="F33" i="43"/>
  <c r="F35" i="43" s="1"/>
  <c r="N49" i="43"/>
  <c r="F42" i="43"/>
  <c r="N35" i="43"/>
  <c r="N28" i="43"/>
  <c r="N42" i="43"/>
  <c r="F26" i="43"/>
  <c r="F28" i="43" s="1"/>
  <c r="N48" i="24"/>
  <c r="N47" i="24"/>
  <c r="N46" i="24"/>
  <c r="N45" i="24"/>
  <c r="N44" i="24"/>
  <c r="N41" i="24"/>
  <c r="N40" i="24"/>
  <c r="N39" i="24"/>
  <c r="N38" i="24"/>
  <c r="N37" i="24"/>
  <c r="N34" i="24"/>
  <c r="N33" i="24"/>
  <c r="N32" i="24"/>
  <c r="N31" i="24"/>
  <c r="N30" i="24"/>
  <c r="N27" i="24"/>
  <c r="N26" i="24"/>
  <c r="N25" i="24"/>
  <c r="N24" i="24"/>
  <c r="N23" i="24"/>
  <c r="M49" i="24"/>
  <c r="M42" i="24"/>
  <c r="M35" i="24"/>
  <c r="M28" i="24"/>
  <c r="L49" i="24"/>
  <c r="K49" i="24"/>
  <c r="J49" i="24"/>
  <c r="I49" i="24"/>
  <c r="L42" i="24"/>
  <c r="K42" i="24"/>
  <c r="J42" i="24"/>
  <c r="I42" i="24"/>
  <c r="L35" i="24"/>
  <c r="K35" i="24"/>
  <c r="J35" i="24"/>
  <c r="I35" i="24"/>
  <c r="L28" i="24"/>
  <c r="K28" i="24"/>
  <c r="J28" i="24"/>
  <c r="I28" i="24"/>
  <c r="N49" i="24" l="1"/>
  <c r="N42" i="24"/>
  <c r="N28" i="24"/>
  <c r="N35" i="24"/>
  <c r="E26" i="41"/>
  <c r="F25" i="41" s="1"/>
  <c r="C26" i="41"/>
  <c r="D25" i="41" s="1"/>
  <c r="K26" i="41"/>
  <c r="I26" i="41"/>
  <c r="J24" i="41" s="1"/>
  <c r="G26" i="41"/>
  <c r="H25" i="41" s="1"/>
  <c r="G12" i="29"/>
  <c r="G13" i="29"/>
  <c r="F10" i="29"/>
  <c r="F11" i="29"/>
  <c r="F12" i="29"/>
  <c r="F13" i="29"/>
  <c r="D22" i="41" l="1"/>
  <c r="L23" i="41"/>
  <c r="F22" i="41"/>
  <c r="F23" i="41"/>
  <c r="F24" i="41"/>
  <c r="F21" i="41"/>
  <c r="D23" i="41"/>
  <c r="D24" i="41"/>
  <c r="D21" i="41"/>
  <c r="H22" i="41"/>
  <c r="H24" i="41"/>
  <c r="H21" i="41"/>
  <c r="H23" i="41"/>
  <c r="J21" i="41"/>
  <c r="J23" i="41"/>
  <c r="J25" i="41"/>
  <c r="J22" i="41"/>
  <c r="L22" i="41"/>
  <c r="L24" i="41"/>
  <c r="L21" i="41"/>
  <c r="L25" i="41"/>
  <c r="K38" i="41"/>
  <c r="I38" i="41"/>
  <c r="G38" i="41"/>
  <c r="D26" i="41" l="1"/>
  <c r="F26" i="41"/>
  <c r="H26" i="41"/>
  <c r="J26" i="41"/>
  <c r="L26" i="41"/>
  <c r="E73" i="24"/>
  <c r="H73" i="24"/>
  <c r="I73" i="24"/>
  <c r="J73" i="24"/>
  <c r="K73" i="24"/>
  <c r="L73" i="24"/>
  <c r="F73" i="24"/>
  <c r="G73" i="24"/>
  <c r="L74" i="24" l="1"/>
  <c r="H74" i="24"/>
  <c r="K74" i="24"/>
  <c r="J74" i="24"/>
  <c r="F74" i="24"/>
  <c r="I74" i="24"/>
  <c r="G74" i="24"/>
  <c r="E74" i="24"/>
  <c r="I27" i="21"/>
  <c r="I13" i="21"/>
  <c r="D10" i="41"/>
  <c r="F10" i="41"/>
  <c r="D11" i="41"/>
  <c r="F11" i="41"/>
  <c r="D12" i="41"/>
  <c r="F12" i="41"/>
  <c r="D13" i="41"/>
  <c r="F13" i="41"/>
  <c r="D14" i="41"/>
  <c r="F14" i="41"/>
  <c r="H12" i="41"/>
  <c r="H13" i="41"/>
  <c r="H14" i="41"/>
  <c r="H15" i="41"/>
  <c r="F15" i="41"/>
  <c r="D15" i="41"/>
  <c r="I10" i="8" l="1"/>
  <c r="I11" i="8"/>
  <c r="I12" i="8"/>
  <c r="I15" i="8"/>
  <c r="I16" i="8"/>
  <c r="I17" i="8"/>
  <c r="I18" i="8"/>
  <c r="I19" i="8"/>
  <c r="I21" i="8"/>
  <c r="I22" i="8"/>
  <c r="I23" i="8"/>
  <c r="I24" i="8"/>
  <c r="I25" i="8"/>
  <c r="I27" i="8"/>
  <c r="I28" i="8"/>
  <c r="I29" i="8"/>
  <c r="I30" i="8"/>
  <c r="I31" i="8"/>
  <c r="P11" i="3" l="1"/>
  <c r="P10" i="3"/>
  <c r="N11" i="3"/>
  <c r="N10" i="3"/>
  <c r="L11" i="3"/>
  <c r="L10" i="3"/>
  <c r="R11" i="3"/>
  <c r="R10" i="3"/>
  <c r="T11" i="3" l="1"/>
  <c r="T10" i="3"/>
  <c r="F48" i="24" l="1"/>
  <c r="E49" i="24"/>
  <c r="D49" i="24"/>
  <c r="F47" i="24"/>
  <c r="F46" i="24"/>
  <c r="F45" i="24"/>
  <c r="F44" i="24"/>
  <c r="C42" i="24"/>
  <c r="F41" i="24"/>
  <c r="E42" i="24"/>
  <c r="F40" i="24"/>
  <c r="F39" i="24"/>
  <c r="F38" i="24"/>
  <c r="F37" i="24"/>
  <c r="C49" i="23"/>
  <c r="G49" i="23"/>
  <c r="F49" i="23"/>
  <c r="E49" i="23"/>
  <c r="D49" i="23"/>
  <c r="H48" i="23"/>
  <c r="H47" i="23"/>
  <c r="H46" i="23"/>
  <c r="H45" i="23"/>
  <c r="H44" i="23"/>
  <c r="G42" i="23"/>
  <c r="F42" i="23"/>
  <c r="E42" i="23"/>
  <c r="D42" i="23"/>
  <c r="C42" i="23"/>
  <c r="H41" i="23"/>
  <c r="H40" i="23"/>
  <c r="H39" i="23"/>
  <c r="H38" i="23"/>
  <c r="H37" i="23"/>
  <c r="F49" i="24" l="1"/>
  <c r="H49" i="23"/>
  <c r="F42" i="24"/>
  <c r="C49" i="24"/>
  <c r="D42" i="24"/>
  <c r="H42" i="23"/>
  <c r="N8" i="36"/>
  <c r="O8" i="36"/>
  <c r="P8" i="36"/>
  <c r="Q8" i="36"/>
  <c r="R8" i="36"/>
  <c r="N9" i="36"/>
  <c r="O9" i="36"/>
  <c r="Q9" i="36"/>
  <c r="R9" i="36"/>
  <c r="S9" i="36"/>
  <c r="N10" i="36"/>
  <c r="O10" i="36"/>
  <c r="P10" i="36"/>
  <c r="Q10" i="36"/>
  <c r="R10" i="36"/>
  <c r="S10" i="36"/>
  <c r="N11" i="36"/>
  <c r="O11" i="36"/>
  <c r="P11" i="36"/>
  <c r="Q11" i="36"/>
  <c r="R11" i="36"/>
  <c r="S11" i="36"/>
  <c r="N12" i="36"/>
  <c r="O12" i="36"/>
  <c r="P12" i="36"/>
  <c r="Q12" i="36"/>
  <c r="R12" i="36"/>
  <c r="S12" i="36"/>
  <c r="N13" i="36"/>
  <c r="O13" i="36"/>
  <c r="P13" i="36"/>
  <c r="Q13" i="36"/>
  <c r="R13" i="36"/>
  <c r="S13" i="36"/>
  <c r="M9" i="36"/>
  <c r="M10" i="36"/>
  <c r="M11" i="36"/>
  <c r="M12" i="36"/>
  <c r="M13" i="36"/>
  <c r="M8" i="36"/>
  <c r="F34" i="24" l="1"/>
  <c r="E33" i="24"/>
  <c r="E35" i="24" s="1"/>
  <c r="D33" i="24"/>
  <c r="C33" i="24"/>
  <c r="C35" i="24" s="1"/>
  <c r="F32" i="24"/>
  <c r="F31" i="24"/>
  <c r="F30" i="24"/>
  <c r="F27" i="24"/>
  <c r="E26" i="24"/>
  <c r="E28" i="24" s="1"/>
  <c r="D26" i="24"/>
  <c r="C26" i="24"/>
  <c r="C28" i="24" s="1"/>
  <c r="F25" i="24"/>
  <c r="F23" i="24"/>
  <c r="G35" i="23"/>
  <c r="F35" i="23"/>
  <c r="E35" i="23"/>
  <c r="D35" i="23"/>
  <c r="C35" i="23"/>
  <c r="H34" i="23"/>
  <c r="H33" i="23"/>
  <c r="H32" i="23"/>
  <c r="H31" i="23"/>
  <c r="H30" i="23"/>
  <c r="G28" i="23"/>
  <c r="F28" i="23"/>
  <c r="E28" i="23"/>
  <c r="D28" i="23"/>
  <c r="C28" i="23"/>
  <c r="H27" i="23"/>
  <c r="H26" i="23"/>
  <c r="H25" i="23"/>
  <c r="H24" i="23"/>
  <c r="H23" i="23"/>
  <c r="H35" i="23" l="1"/>
  <c r="F26" i="24"/>
  <c r="F28" i="24" s="1"/>
  <c r="F33" i="24"/>
  <c r="F35" i="24" s="1"/>
  <c r="D28" i="24"/>
  <c r="D35" i="24"/>
  <c r="H28" i="23"/>
  <c r="H28" i="21" l="1"/>
  <c r="D35" i="21"/>
  <c r="E35" i="21"/>
  <c r="F35" i="21"/>
  <c r="G35" i="21"/>
  <c r="H35" i="21"/>
  <c r="C35" i="21"/>
  <c r="D28" i="21"/>
  <c r="E28" i="21"/>
  <c r="F28" i="21"/>
  <c r="G28" i="21"/>
  <c r="C28" i="21"/>
  <c r="I10" i="21"/>
  <c r="I12" i="21"/>
  <c r="D14" i="21"/>
  <c r="E14" i="21"/>
  <c r="F14" i="21"/>
  <c r="G14" i="21"/>
  <c r="H14" i="21"/>
  <c r="C14" i="21"/>
  <c r="C41" i="21"/>
  <c r="D41" i="21"/>
  <c r="E41" i="21"/>
  <c r="F41" i="21"/>
  <c r="G41" i="21"/>
  <c r="H41" i="21"/>
  <c r="I23" i="21"/>
  <c r="I24" i="21"/>
  <c r="I25" i="21"/>
  <c r="I26" i="21"/>
  <c r="I30" i="21"/>
  <c r="I31" i="21"/>
  <c r="I32" i="21"/>
  <c r="I33" i="21"/>
  <c r="I9" i="21"/>
  <c r="I28" i="21" l="1"/>
  <c r="I14" i="21"/>
  <c r="I35" i="21"/>
  <c r="I38" i="21"/>
  <c r="I40" i="21"/>
  <c r="I39" i="21"/>
  <c r="I41" i="21" l="1"/>
  <c r="C26" i="16"/>
  <c r="C34" i="16"/>
  <c r="C34" i="17"/>
  <c r="D34" i="17"/>
  <c r="E34" i="17"/>
  <c r="F34" i="17"/>
  <c r="G34" i="17"/>
  <c r="H34" i="17"/>
  <c r="C35" i="17"/>
  <c r="D35" i="17"/>
  <c r="E35" i="17"/>
  <c r="F35" i="17"/>
  <c r="G35" i="17"/>
  <c r="H35" i="17"/>
  <c r="C36" i="17"/>
  <c r="D36" i="17"/>
  <c r="E36" i="17"/>
  <c r="F36" i="17"/>
  <c r="G36" i="17"/>
  <c r="H36" i="17"/>
  <c r="C37" i="17"/>
  <c r="D37" i="17"/>
  <c r="E37" i="17"/>
  <c r="F37" i="17"/>
  <c r="G37" i="17"/>
  <c r="H37" i="17"/>
  <c r="D33" i="17"/>
  <c r="E33" i="17"/>
  <c r="F33" i="17"/>
  <c r="G33" i="17"/>
  <c r="H33" i="17"/>
  <c r="C33" i="17"/>
  <c r="C26" i="17"/>
  <c r="D26" i="17"/>
  <c r="E26" i="17"/>
  <c r="F26" i="17"/>
  <c r="G26" i="17"/>
  <c r="H26" i="17"/>
  <c r="C27" i="17"/>
  <c r="D27" i="17"/>
  <c r="F27" i="17"/>
  <c r="G27" i="17"/>
  <c r="H27" i="17"/>
  <c r="C28" i="17"/>
  <c r="D28" i="17"/>
  <c r="E28" i="17"/>
  <c r="F28" i="17"/>
  <c r="G28" i="17"/>
  <c r="H28" i="17"/>
  <c r="C29" i="17"/>
  <c r="D29" i="17"/>
  <c r="E29" i="17"/>
  <c r="F29" i="17"/>
  <c r="G29" i="17"/>
  <c r="H29" i="17"/>
  <c r="D25" i="17"/>
  <c r="E25" i="17"/>
  <c r="F25" i="17"/>
  <c r="G25" i="17"/>
  <c r="H25" i="17"/>
  <c r="C25" i="17"/>
  <c r="D34" i="16"/>
  <c r="E34" i="16"/>
  <c r="F34" i="16"/>
  <c r="G34" i="16"/>
  <c r="H34" i="16"/>
  <c r="C35" i="16"/>
  <c r="D35" i="16"/>
  <c r="E35" i="16"/>
  <c r="F35" i="16"/>
  <c r="G35" i="16"/>
  <c r="H35" i="16"/>
  <c r="C36" i="16"/>
  <c r="D36" i="16"/>
  <c r="E36" i="16"/>
  <c r="F36" i="16"/>
  <c r="G36" i="16"/>
  <c r="H36" i="16"/>
  <c r="C37" i="16"/>
  <c r="D37" i="16"/>
  <c r="E37" i="16"/>
  <c r="F37" i="16"/>
  <c r="G37" i="16"/>
  <c r="H37" i="16"/>
  <c r="D33" i="16"/>
  <c r="E33" i="16"/>
  <c r="F33" i="16"/>
  <c r="G33" i="16"/>
  <c r="H33" i="16"/>
  <c r="C33" i="16"/>
  <c r="D26" i="16"/>
  <c r="E26" i="16"/>
  <c r="G26" i="16"/>
  <c r="C27" i="16"/>
  <c r="D27" i="16"/>
  <c r="E27" i="16"/>
  <c r="F27" i="16"/>
  <c r="G27" i="16"/>
  <c r="H27" i="16"/>
  <c r="C28" i="16"/>
  <c r="D28" i="16"/>
  <c r="E28" i="16"/>
  <c r="F28" i="16"/>
  <c r="G28" i="16"/>
  <c r="H28" i="16"/>
  <c r="C29" i="16"/>
  <c r="D29" i="16"/>
  <c r="E29" i="16"/>
  <c r="F29" i="16"/>
  <c r="G29" i="16"/>
  <c r="H29" i="16"/>
  <c r="D25" i="16"/>
  <c r="E25" i="16"/>
  <c r="F25" i="16"/>
  <c r="G25" i="16"/>
  <c r="H25" i="16"/>
  <c r="C25" i="16"/>
  <c r="G57" i="19"/>
  <c r="E38" i="19"/>
</calcChain>
</file>

<file path=xl/sharedStrings.xml><?xml version="1.0" encoding="utf-8"?>
<sst xmlns="http://schemas.openxmlformats.org/spreadsheetml/2006/main" count="2637" uniqueCount="681">
  <si>
    <t>2009-2010</t>
  </si>
  <si>
    <t>2011-2012</t>
  </si>
  <si>
    <t>TOTAL</t>
  </si>
  <si>
    <t>Chile</t>
  </si>
  <si>
    <t>Extranjero</t>
  </si>
  <si>
    <t>Estado</t>
  </si>
  <si>
    <t>IPSFL</t>
  </si>
  <si>
    <t>Empresas</t>
  </si>
  <si>
    <t>Total</t>
  </si>
  <si>
    <t>Porcentaje</t>
  </si>
  <si>
    <t>No Exporta</t>
  </si>
  <si>
    <t>Exporta</t>
  </si>
  <si>
    <t>Gasto Corriente</t>
  </si>
  <si>
    <t>Gasto Capital</t>
  </si>
  <si>
    <t>Gasto Total</t>
  </si>
  <si>
    <t>Gasto Promedio</t>
  </si>
  <si>
    <t xml:space="preserve">Chile </t>
  </si>
  <si>
    <t>América</t>
  </si>
  <si>
    <t>Asia</t>
  </si>
  <si>
    <t>África</t>
  </si>
  <si>
    <t>Oceanía</t>
  </si>
  <si>
    <t>Europa</t>
  </si>
  <si>
    <t>Agricultura, ganadería, caza, silvicultura y pesca</t>
  </si>
  <si>
    <t>Explotación de minas y canteras</t>
  </si>
  <si>
    <t>Industrias manufactureras (*)</t>
  </si>
  <si>
    <t>Suministro de electricidad, gas, vapor y aire acondicionado</t>
  </si>
  <si>
    <t>Suministro de agua</t>
  </si>
  <si>
    <t>Construcción</t>
  </si>
  <si>
    <t>Comercio</t>
  </si>
  <si>
    <t>Transporte y almacenamiento</t>
  </si>
  <si>
    <t>Alojamiento y de servicio de comidas</t>
  </si>
  <si>
    <t>Información y comunicaciones</t>
  </si>
  <si>
    <t>Actividades financieras y de seguros</t>
  </si>
  <si>
    <t>Actividades inmobiliarias</t>
  </si>
  <si>
    <t>Actividades profesionales, científicas y técnicas (**)</t>
  </si>
  <si>
    <t>Actividades de servicios administrativos y de apoyo</t>
  </si>
  <si>
    <t>Administración pública y defensa</t>
  </si>
  <si>
    <t>Enseñanza</t>
  </si>
  <si>
    <t xml:space="preserve">Actividades de atención de la salud </t>
  </si>
  <si>
    <t>Actividades artísticas, de entretenimiento y recreativas</t>
  </si>
  <si>
    <t>Otras actividades de servicios</t>
  </si>
  <si>
    <t>Ratio Corriente/Capital</t>
  </si>
  <si>
    <t>Investigación Básica</t>
  </si>
  <si>
    <t>Investigación Aplicada</t>
  </si>
  <si>
    <t>Desarrollo Experimental</t>
  </si>
  <si>
    <t>Ciencias Naturales</t>
  </si>
  <si>
    <t>Ingeniería y Tecnología</t>
  </si>
  <si>
    <t>Ciencias Médicas y de Salud</t>
  </si>
  <si>
    <t>Ciencias Agrícolas</t>
  </si>
  <si>
    <t>Ciencias Sociales</t>
  </si>
  <si>
    <t>Humanidades</t>
  </si>
  <si>
    <t>Ed. Superior</t>
  </si>
  <si>
    <t>Año</t>
  </si>
  <si>
    <t>Exploración y Explotación de la Tierra</t>
  </si>
  <si>
    <t>Transporte, Telecomunicaciones y Otras Infraestructuras</t>
  </si>
  <si>
    <t>Medio Ambiente</t>
  </si>
  <si>
    <t>Energía</t>
  </si>
  <si>
    <t>Agricultura</t>
  </si>
  <si>
    <t>Producción Industrial y Tecnología</t>
  </si>
  <si>
    <t>Exploración y Explotación del Espacio</t>
  </si>
  <si>
    <t>Defensa</t>
  </si>
  <si>
    <t>Salud</t>
  </si>
  <si>
    <t>Educación</t>
  </si>
  <si>
    <t>Cultura, Recreación, Religión y Medios de Comunicación Masivo</t>
  </si>
  <si>
    <t>Sistemas Políticos y Sociales, Estructuras y Procesos</t>
  </si>
  <si>
    <t>Avance General del Conocimiento</t>
  </si>
  <si>
    <t>Fondos Internacionales</t>
  </si>
  <si>
    <t>Doctorado</t>
  </si>
  <si>
    <t>Magister</t>
  </si>
  <si>
    <t>Profesional y/o Licenciado</t>
  </si>
  <si>
    <t>Técnico Superior</t>
  </si>
  <si>
    <t>Otros</t>
  </si>
  <si>
    <t>% del Total I+D</t>
  </si>
  <si>
    <t>REGIÓN</t>
  </si>
  <si>
    <t>XV</t>
  </si>
  <si>
    <t>R. de Arica y Parinacota</t>
  </si>
  <si>
    <t>I</t>
  </si>
  <si>
    <t>R. de Tarapacá</t>
  </si>
  <si>
    <t>II</t>
  </si>
  <si>
    <t>R. de Antofagasta</t>
  </si>
  <si>
    <t>III</t>
  </si>
  <si>
    <t>R. de Atacama</t>
  </si>
  <si>
    <t>IV</t>
  </si>
  <si>
    <t>R. de Coquimbo</t>
  </si>
  <si>
    <t>V</t>
  </si>
  <si>
    <t>R. de Valparaíso</t>
  </si>
  <si>
    <t>VI</t>
  </si>
  <si>
    <t>R. del Libertador General Bernardo O'Higgins</t>
  </si>
  <si>
    <t>VII</t>
  </si>
  <si>
    <t>R. del Maule</t>
  </si>
  <si>
    <t>VIII</t>
  </si>
  <si>
    <t>R. del Biobío</t>
  </si>
  <si>
    <t>IX</t>
  </si>
  <si>
    <t>XIV</t>
  </si>
  <si>
    <t>R. de Los Ríos</t>
  </si>
  <si>
    <t>X</t>
  </si>
  <si>
    <t>R. de Los Lagos</t>
  </si>
  <si>
    <t>XI</t>
  </si>
  <si>
    <t>R. de Aisén del General Carlos Ibáñez del Campo</t>
  </si>
  <si>
    <t>XII</t>
  </si>
  <si>
    <t>R. de Magallanes y de La Antártica Chilena</t>
  </si>
  <si>
    <t>XIII</t>
  </si>
  <si>
    <t>R. Metropolitana de Santiago</t>
  </si>
  <si>
    <t>Variables:</t>
  </si>
  <si>
    <t>N° Investigadores</t>
  </si>
  <si>
    <t>A</t>
  </si>
  <si>
    <t>B</t>
  </si>
  <si>
    <t>C</t>
  </si>
  <si>
    <t>D</t>
  </si>
  <si>
    <t>E</t>
  </si>
  <si>
    <t>F</t>
  </si>
  <si>
    <t>G</t>
  </si>
  <si>
    <t>H</t>
  </si>
  <si>
    <t>J</t>
  </si>
  <si>
    <t>K</t>
  </si>
  <si>
    <t>L</t>
  </si>
  <si>
    <t>M</t>
  </si>
  <si>
    <t>N</t>
  </si>
  <si>
    <t>O</t>
  </si>
  <si>
    <t>P</t>
  </si>
  <si>
    <t>Q</t>
  </si>
  <si>
    <t>R</t>
  </si>
  <si>
    <t>S</t>
  </si>
  <si>
    <t>Investigadores</t>
  </si>
  <si>
    <t>Técnicos y Personal Asimilado</t>
  </si>
  <si>
    <t>Otro Personal de Apoyo</t>
  </si>
  <si>
    <t>Total Mujeres</t>
  </si>
  <si>
    <t>Total Investigadores</t>
  </si>
  <si>
    <t>-</t>
  </si>
  <si>
    <t>TOTAL PERSONAL I+D POR OCUPACIÓN (JCE, 2013)</t>
  </si>
  <si>
    <t>(SOLO PARA GRAFICAR)</t>
  </si>
  <si>
    <t>SOLO PARA GRAFICAR</t>
  </si>
  <si>
    <t>ÍNDICE</t>
  </si>
  <si>
    <t>MÓDULO</t>
  </si>
  <si>
    <t>B.1.</t>
  </si>
  <si>
    <t>C.1.</t>
  </si>
  <si>
    <t>C.2.</t>
  </si>
  <si>
    <t>C.3.</t>
  </si>
  <si>
    <t>C.4.</t>
  </si>
  <si>
    <t>C.5.</t>
  </si>
  <si>
    <t>C.6.</t>
  </si>
  <si>
    <t>C.7.</t>
  </si>
  <si>
    <t>D.1.</t>
  </si>
  <si>
    <t>D.2.</t>
  </si>
  <si>
    <t>D.3.</t>
  </si>
  <si>
    <t>D.4.</t>
  </si>
  <si>
    <t>D.5.</t>
  </si>
  <si>
    <t>D.6.</t>
  </si>
  <si>
    <t>D.7.</t>
  </si>
  <si>
    <t>D.8.</t>
  </si>
  <si>
    <t>D.9.</t>
  </si>
  <si>
    <t>GASTO I+D SEGÚN ÁREA DEL CONOCIMIENTO.</t>
  </si>
  <si>
    <t>GASTO I+D SEGÚN FUENTES DE FINANCIAMIENTO INTERNACIONAL.</t>
  </si>
  <si>
    <t>GASTO I+D SEGÚN TIPO DE INVESTIGACIÓN.</t>
  </si>
  <si>
    <t>GASTO I+D: CORRIENTE v/s CAPITAL.</t>
  </si>
  <si>
    <t>GASTO EN INVESTIGACIÓN Y DESARROLLO (I+D).</t>
  </si>
  <si>
    <t>CUADROS</t>
  </si>
  <si>
    <t>Tamaño</t>
  </si>
  <si>
    <t>C.8.</t>
  </si>
  <si>
    <t>Grandes</t>
  </si>
  <si>
    <t>Medianas</t>
  </si>
  <si>
    <t>Pequeñas</t>
  </si>
  <si>
    <t>Microempresas</t>
  </si>
  <si>
    <t>Entre 0 y 5 años</t>
  </si>
  <si>
    <t>Entre 6 y 10 años</t>
  </si>
  <si>
    <t>Entre 11 y 15 años</t>
  </si>
  <si>
    <t>Entre 16 y 20 años</t>
  </si>
  <si>
    <t>Entre 21 y 25 años</t>
  </si>
  <si>
    <t>Entre 26 y 30 años</t>
  </si>
  <si>
    <t>AÑOS</t>
  </si>
  <si>
    <t>EDAD</t>
  </si>
  <si>
    <t>GASTO I+D SEGÚN RANGO DE EDAD DE LA EMPRESA.</t>
  </si>
  <si>
    <t>C.9.</t>
  </si>
  <si>
    <t>GASTO I+D SEGÚN OBJETIVO SOCIOECONÓMICO.</t>
  </si>
  <si>
    <t>Doctorados</t>
  </si>
  <si>
    <t>Profesional y/o Licenciatura</t>
  </si>
  <si>
    <t>Técnicos de Nivel Superior</t>
  </si>
  <si>
    <t>Educación Superior</t>
  </si>
  <si>
    <t>Observatorios</t>
  </si>
  <si>
    <t xml:space="preserve">Total </t>
  </si>
  <si>
    <t xml:space="preserve">Investigadores </t>
  </si>
  <si>
    <t>Técnicos y Personal de Apoyo</t>
  </si>
  <si>
    <t xml:space="preserve">Otro Personal de Apoyo </t>
  </si>
  <si>
    <t>%</t>
  </si>
  <si>
    <t>Región</t>
  </si>
  <si>
    <t>$MM</t>
  </si>
  <si>
    <t>R. de La Araucanía</t>
  </si>
  <si>
    <t>Argentina</t>
  </si>
  <si>
    <t>Turquía</t>
  </si>
  <si>
    <t>Polonia</t>
  </si>
  <si>
    <t>Eslovaquia</t>
  </si>
  <si>
    <t>Hungría</t>
  </si>
  <si>
    <t>Grecia</t>
  </si>
  <si>
    <t>Italia</t>
  </si>
  <si>
    <t>Estonia</t>
  </si>
  <si>
    <t>Reino Unido</t>
  </si>
  <si>
    <t>España</t>
  </si>
  <si>
    <t>República Checa</t>
  </si>
  <si>
    <t>Portugal</t>
  </si>
  <si>
    <t>Japón</t>
  </si>
  <si>
    <t>Noruega</t>
  </si>
  <si>
    <t>Alemania</t>
  </si>
  <si>
    <t>Bélgica</t>
  </si>
  <si>
    <t>Luxemburgo</t>
  </si>
  <si>
    <t>Austria</t>
  </si>
  <si>
    <t>Eslovenia</t>
  </si>
  <si>
    <t>Suecia</t>
  </si>
  <si>
    <t>Dinamarca</t>
  </si>
  <si>
    <t>Finlandia</t>
  </si>
  <si>
    <t>Rusia</t>
  </si>
  <si>
    <t>Canadá</t>
  </si>
  <si>
    <t xml:space="preserve">China </t>
  </si>
  <si>
    <t>Francia</t>
  </si>
  <si>
    <t xml:space="preserve">OECD </t>
  </si>
  <si>
    <t>Estados Unidos</t>
  </si>
  <si>
    <t>Israel</t>
  </si>
  <si>
    <t>Hacen I+D</t>
  </si>
  <si>
    <t>Número</t>
  </si>
  <si>
    <t xml:space="preserve">% </t>
  </si>
  <si>
    <t>Total Unidades</t>
  </si>
  <si>
    <t>SOLO I+D Intramuros</t>
  </si>
  <si>
    <t>SOLO I+D Extramuros</t>
  </si>
  <si>
    <t>Hacen I+D Mixta</t>
  </si>
  <si>
    <t>Total Empresas</t>
  </si>
  <si>
    <t>Producto Interno Bruto (MM$ corrientes)</t>
  </si>
  <si>
    <t>Var. PIB Nominal</t>
  </si>
  <si>
    <t>Var. Gasto I+D Nominal</t>
  </si>
  <si>
    <t>Var. Gasto I+D Real</t>
  </si>
  <si>
    <t>Producto Interno Bruto (MM$ encadenados)</t>
  </si>
  <si>
    <t>RATIO GASTO I+D/PIB Y EVOLUCIÓN DEL GASTO EN I+D</t>
  </si>
  <si>
    <t>Ratio Gasto I+D/PIB</t>
  </si>
  <si>
    <t>Var. PIB Real</t>
  </si>
  <si>
    <t>B.2.</t>
  </si>
  <si>
    <t>Sector de Ejecución</t>
  </si>
  <si>
    <t>Edu. Superior</t>
  </si>
  <si>
    <t xml:space="preserve">IPSFL </t>
  </si>
  <si>
    <t>Total 2013</t>
  </si>
  <si>
    <t>Part. % Financ.</t>
  </si>
  <si>
    <t>Part % Ejecución</t>
  </si>
  <si>
    <t>GASTO EN I+D SEGÚN FUENTE DE FINANCIAMIENTO (Porcentaje).</t>
  </si>
  <si>
    <t>I.1.</t>
  </si>
  <si>
    <t>I.2.</t>
  </si>
  <si>
    <t>I.3.</t>
  </si>
  <si>
    <t>GASTO I+D SEGÚN SECTOR DE EJECUCIÓN.</t>
  </si>
  <si>
    <t>C.2. EMPRESAS QUE REALIZAN GASTO EN I+D.</t>
  </si>
  <si>
    <t>C.3. GASTO I+D SEGÚN SECTOR DE EJECUCIÓN.</t>
  </si>
  <si>
    <t>D.10.</t>
  </si>
  <si>
    <t>C.10.</t>
  </si>
  <si>
    <t>C.11.</t>
  </si>
  <si>
    <t>C.12.</t>
  </si>
  <si>
    <t>C.13.</t>
  </si>
  <si>
    <t>C.14.</t>
  </si>
  <si>
    <t>C.15.</t>
  </si>
  <si>
    <t>C.16.</t>
  </si>
  <si>
    <t>C.7. GASTO I+D SEGÚN REGIÓN.</t>
  </si>
  <si>
    <t>C.8. GASTO I+D: CORRIENTE v/s CAPITAL.</t>
  </si>
  <si>
    <t>C.9. GASTO I+D SEGÚN TIPO DE INVESTIGACIÓN.</t>
  </si>
  <si>
    <t>C.10. GASTO I+D SEGÚN ÁREA DEL CONOCIMIENTO.</t>
  </si>
  <si>
    <t>C.11. GASTO I+D SEGÚN OBJETIVO SOCIOECONÓMICO.</t>
  </si>
  <si>
    <t>I.2. GASTO EN I+D CHILE v/s OECD.</t>
  </si>
  <si>
    <t>INTRODUCCIÓN.</t>
  </si>
  <si>
    <t>NOTA:</t>
  </si>
  <si>
    <t>ANEXO</t>
  </si>
  <si>
    <t>Factor IPC</t>
  </si>
  <si>
    <t>Nota: Sectores J y M son considerados sectores KIBS (Knowledge Intensive Business Service).</t>
  </si>
  <si>
    <t>Fuente Instituto Nacional de Estadísticas (INE).</t>
  </si>
  <si>
    <t>GASTO I+D SEGÚN TAMAÑO DE LA EMPRESA Y ÁREA DEL CONOCIMIENTO.</t>
  </si>
  <si>
    <t>D.1. PERSONAL I+D SEGÚN NIVEL DE TITULACIÓN FORMAL.</t>
  </si>
  <si>
    <t>I.1. GASTO EN I+D sobre PIB, Y EVOLUCIÓN DEL GASTO EN I+D.</t>
  </si>
  <si>
    <t>I.3. PERSONAL OCUPADO EN I+D CHILE v/s OECD.</t>
  </si>
  <si>
    <t>VENTAS Y EXPORTACIONES.</t>
  </si>
  <si>
    <t>Ventas</t>
  </si>
  <si>
    <t>Gasto Total I+D</t>
  </si>
  <si>
    <t>ACTIVIDAD ECONÓMICA CATEGORÍAS en base a CIIU rev.4</t>
  </si>
  <si>
    <t>GASTO EN I+D SEGÚN FUENTE DE FINANCIAMIENTO.</t>
  </si>
  <si>
    <t>Nota: No están considerados los gastos en I+D de observatorios astronómicos</t>
  </si>
  <si>
    <t>C.6. EMPRESAS: GASTO I+D SEGÚN ACTIVIDAD ECONÓMICA.</t>
  </si>
  <si>
    <t>C.12. GASTO I+D SEGÚN FUENTES DE FINANCIAMIENTO INTERNACIONAL.</t>
  </si>
  <si>
    <t>2012*</t>
  </si>
  <si>
    <t>2010*</t>
  </si>
  <si>
    <t>Donaciones y fondos concursables extranjeros*</t>
  </si>
  <si>
    <t>NÚMERO DE EMPRESAS QUE EXPORTAN</t>
  </si>
  <si>
    <t>N° Empresas</t>
  </si>
  <si>
    <t>Exportaciones</t>
  </si>
  <si>
    <t>Ratio Gasto I+D/Ventas</t>
  </si>
  <si>
    <t>Gasto Total en I+D</t>
  </si>
  <si>
    <t>Ratio                                  Gasto I+D/Ventas</t>
  </si>
  <si>
    <t>Sin Clasificar</t>
  </si>
  <si>
    <t>GASTO I+D SEGÚN TAMAÑO DE LA EMPRESA.</t>
  </si>
  <si>
    <t>C.17.</t>
  </si>
  <si>
    <t>C.17. GASTO EXTRAMURO SEGÚN ACTIVIDAD ECONÓMICA.</t>
  </si>
  <si>
    <t>C.14. GASTO I+D SEGÚN TAMAÑO DE LA EMPRESA Y ÁREA DEL CONOCIMIENTO.</t>
  </si>
  <si>
    <t>C.15. GASTO I+D SEGÚN RANGO DE EDAD DE LA EMPRESA.</t>
  </si>
  <si>
    <t>Entre 31 y 35 años</t>
  </si>
  <si>
    <t>Entre 36 y 40 años</t>
  </si>
  <si>
    <t>Entre 41 y 45 años</t>
  </si>
  <si>
    <t>Entre 46 y 50 años</t>
  </si>
  <si>
    <t>Mas de 50 años</t>
  </si>
  <si>
    <t xml:space="preserve">Total Ventas                   </t>
  </si>
  <si>
    <t xml:space="preserve">Total Exportaciones                  </t>
  </si>
  <si>
    <t>Ratio Gasto I+D/Exportaciones</t>
  </si>
  <si>
    <t>ANEXO:  IPC FUENTE INE.</t>
  </si>
  <si>
    <t>IPC FUENTE INE.</t>
  </si>
  <si>
    <t>Inversión en capital para I+D</t>
  </si>
  <si>
    <t>1. Investigadores *</t>
  </si>
  <si>
    <t>2. Técnicos y personal de apoyo *</t>
  </si>
  <si>
    <t>3. Otro personal de apoyo *</t>
  </si>
  <si>
    <t>Investigación básica</t>
  </si>
  <si>
    <t>Investigación aplicada</t>
  </si>
  <si>
    <t>Desarrollo experimental</t>
  </si>
  <si>
    <t>FUENTE DE FINANCIAMIENTO</t>
  </si>
  <si>
    <t>D1. OCUPACIÓN TODO PERSONAL</t>
  </si>
  <si>
    <t>PERSONAL IN SITU</t>
  </si>
  <si>
    <t>N° Personas
(Promedio Mensual Anual)</t>
  </si>
  <si>
    <t>Empleados en Jornada 
Completa Equivalente (JCE)</t>
  </si>
  <si>
    <t>Chilenos</t>
  </si>
  <si>
    <t>D4300</t>
  </si>
  <si>
    <t>D4310</t>
  </si>
  <si>
    <t>D4320</t>
  </si>
  <si>
    <t>D4330</t>
  </si>
  <si>
    <t>D4301</t>
  </si>
  <si>
    <t>D4311</t>
  </si>
  <si>
    <t>D4321</t>
  </si>
  <si>
    <t>D4331</t>
  </si>
  <si>
    <t>D4302</t>
  </si>
  <si>
    <t>D4312</t>
  </si>
  <si>
    <t>D4322</t>
  </si>
  <si>
    <t>D4332</t>
  </si>
  <si>
    <t>TOTAL PERSONAL EN I+D</t>
  </si>
  <si>
    <t>D4303</t>
  </si>
  <si>
    <t>D4313</t>
  </si>
  <si>
    <t>D4323</t>
  </si>
  <si>
    <t>D4333</t>
  </si>
  <si>
    <t>D2. OCUPACIÓN PERSONAL FEMENINO</t>
  </si>
  <si>
    <t>D3. NIVEL DE TITULACIÓN TODO PERSONAL</t>
  </si>
  <si>
    <t>Empleados en Jornada Completa Equivalente (JCE)</t>
  </si>
  <si>
    <t>Doctores</t>
  </si>
  <si>
    <t>D4400</t>
  </si>
  <si>
    <t>D4410</t>
  </si>
  <si>
    <t>D4420</t>
  </si>
  <si>
    <t>D4430</t>
  </si>
  <si>
    <t>Magíster</t>
  </si>
  <si>
    <t>D4401</t>
  </si>
  <si>
    <t>D4411</t>
  </si>
  <si>
    <t>D4421</t>
  </si>
  <si>
    <t>D4431</t>
  </si>
  <si>
    <t>Título Profesional y/o Licenciatura</t>
  </si>
  <si>
    <t>D4402</t>
  </si>
  <si>
    <t>D4412</t>
  </si>
  <si>
    <t>D4422</t>
  </si>
  <si>
    <t>D4432</t>
  </si>
  <si>
    <t>Técnico de Nivel Superior</t>
  </si>
  <si>
    <t>D4403</t>
  </si>
  <si>
    <t>D4413</t>
  </si>
  <si>
    <t>D4423</t>
  </si>
  <si>
    <t>D4433</t>
  </si>
  <si>
    <t>D4404</t>
  </si>
  <si>
    <t>D4414</t>
  </si>
  <si>
    <t>D4424</t>
  </si>
  <si>
    <t>D4434</t>
  </si>
  <si>
    <t>D4405</t>
  </si>
  <si>
    <t>D4415</t>
  </si>
  <si>
    <t>D4425</t>
  </si>
  <si>
    <t>D4435</t>
  </si>
  <si>
    <t>D4. NIVEL DE TITULACIÓN INVESTIGADORES</t>
  </si>
  <si>
    <t>DATOS DE OBSERVATORIOS ASTRONÓMICOS.</t>
  </si>
  <si>
    <t>B.1. EMPRESAS: TOTAL DE VENTAS Y GASTO I+D SEGÚN ACTIVIDAD ECONÓMICA.</t>
  </si>
  <si>
    <t>Nota: No están considerados los observatorios astronómicos</t>
  </si>
  <si>
    <t xml:space="preserve">C.13. EMPRESAS: GASTO I+D SEGÚN TAMAÑO </t>
  </si>
  <si>
    <t xml:space="preserve">*Para la segunda y tercera enucesta de I+D, encuestas bianuales, se obtenía el dato para el último año a encuestar. Por esta razón no hay datos para 2009 y 2011. </t>
  </si>
  <si>
    <t xml:space="preserve">Gasto  I+D Extramuro Internacional                         </t>
  </si>
  <si>
    <t xml:space="preserve">Gasto  I+D Extramuro Nacional                       </t>
  </si>
  <si>
    <t>PERSONAL I+D SEGÚN NIVEL DE TITULACIÓN FORMAL (en Jornadas Completas Equivalente, JCE)</t>
  </si>
  <si>
    <t>Nota: No se dispone de datos de personal en observatorios astronómicos para 2009 y 2010</t>
  </si>
  <si>
    <t>PERSONAL I+D SEGÚN NIVEL DE TITULACIÓN FORMAL (JCE).</t>
  </si>
  <si>
    <t>PERSONAL I+D SEGÚN NIVEL DE TITULACIÓN FORMAL (PROMEDIO MENSUAL).</t>
  </si>
  <si>
    <t>PORCENTAJES</t>
  </si>
  <si>
    <t>Ejecutan I+D (intramuro + mixta)</t>
  </si>
  <si>
    <t xml:space="preserve">EMPRESAS </t>
  </si>
  <si>
    <t>Promedio</t>
  </si>
  <si>
    <t>PERSONAL I+D SEGÚN OCUPACIÓN (JCE)</t>
  </si>
  <si>
    <t>Gasto en I+D</t>
  </si>
  <si>
    <t>A01</t>
  </si>
  <si>
    <t xml:space="preserve"> AGRICULTURA, GANADERÍA, CAZA Y ACTIVIDADES DE SERVICIOS CONEXAS </t>
  </si>
  <si>
    <t xml:space="preserve"> ELABORACIÓN DE PRODUCTOS ALIMENTICIOS</t>
  </si>
  <si>
    <t xml:space="preserve"> FABRICACIÓN DE SUSTANCIAS Y PRODUCTOS QUÍMICOS</t>
  </si>
  <si>
    <t xml:space="preserve"> COMERCIO AL POR MAYOR Y EN COMISIÓN O POR CONTRATA, EXCEPTO EL COMERCIO DE VEHÍCULOS AUTOMOTORES Y MOTOCICLETAS</t>
  </si>
  <si>
    <t xml:space="preserve"> COMERCIO, MANTENIMIENTO Y REPARACIÓN DE VEHÍCULOS AUTOMOTORES Y MOTOCICLETAS, SUS PARTES, PIEZAS Y ACCESORIOS</t>
  </si>
  <si>
    <t xml:space="preserve"> COMERCIO AL POR MENOR (INCLUSO EL COMERCIO AL POR MENOR DE COMBUSTIBLES), EXCEPTO EL DE VEHÍCULOS AUTOMOTORES Y MOTOCICLETAS</t>
  </si>
  <si>
    <t xml:space="preserve"> DESARROLLO DE SISTEMAS INFORMÁTICOS (PLANIFICACIÓN, ANÁLISIS, DISEÑO, PROGRAMACIÓN, PRUEBAS), CONSULTORÍA INFORMÁTICA Y ACTIVIDADES RELACIONADAS</t>
  </si>
  <si>
    <t xml:space="preserve"> ACTIVIDADES DE ARQUITECTURA E INGENIERÍA; ENSAYOS Y ANÁLISIS TÉCNICOS</t>
  </si>
  <si>
    <t xml:space="preserve"> INVESTIGACIÓN CIENTÍFICA Y DESARROLLO</t>
  </si>
  <si>
    <t>Gasto en I+D Empresas</t>
  </si>
  <si>
    <t>Glosa</t>
  </si>
  <si>
    <t>C10</t>
  </si>
  <si>
    <t>C20</t>
  </si>
  <si>
    <t>G46</t>
  </si>
  <si>
    <t>G45</t>
  </si>
  <si>
    <t>G47</t>
  </si>
  <si>
    <t>J62</t>
  </si>
  <si>
    <t>M71</t>
  </si>
  <si>
    <t>M72</t>
  </si>
  <si>
    <t>División</t>
  </si>
  <si>
    <t>Gasto por actividad económica desglozada a nivel de sección</t>
  </si>
  <si>
    <t>EMPRESAS QUE EJECUTARON I+D SEGÚN TAMAÑO</t>
  </si>
  <si>
    <t>TOTAL EMPRESAS SEGÚN TAMAÑO</t>
  </si>
  <si>
    <t>GASTO EN I+D SOBRE PIB, Y EVOLUCIÓN DEL GASTO EN I+D.</t>
  </si>
  <si>
    <t>INVESTIGADORES EN I+D SEGÚN NIVEL DE TITULACIÓN FORMAL (PROMEDIO MENSUAL)</t>
  </si>
  <si>
    <t>PERSONAL I+D SEGÚN OCUPACIÓN (PROMEDIO MENSUAL)</t>
  </si>
  <si>
    <t>INVESTIGADORES EN I+D SEGÚN NIVEL DE TITULACIÓN FORMAL (JCE)</t>
  </si>
  <si>
    <t>Mujeres Investigadoras</t>
  </si>
  <si>
    <t>% del Total</t>
  </si>
  <si>
    <t>PERSONAL I+D SEGÚN OCUPACIÓN E INVESTIGADORES SEGÚN TITULACIÓN FORMAL (JCE).</t>
  </si>
  <si>
    <t>* Para el caso 2009-2010 y 2011-2012, se consideran aquellas empresas que realizan gastos en I+D, ya sea intramuros o intramuros + extramuros, en ambos años ya que no se dispone de información separada para cada año</t>
  </si>
  <si>
    <t>PERSONAL DEDICADO A INVESTIGACIÓN Y DESARROLLO (I+D)*.</t>
  </si>
  <si>
    <t>*</t>
  </si>
  <si>
    <t>PERSONAL I+D SEGÚN OCUPACIÓN E INVESTIGADORES SEGÚN TITULACIÓN FORMAL (PROMEDIO MENSUAL).</t>
  </si>
  <si>
    <t>D.2.PERSONAL I+D SEGÚN OCUPACIÓN E INVESTIGADORES SEGÚN TITULACIÓN FORMAL (JCE)</t>
  </si>
  <si>
    <t>D.4. PERSONAL I+D SEGÚN OCUPACIÓN E INVESTIGADORES SEGÚN TITULACIÓN FORMAL  (PROMEDIO MENSUAL).</t>
  </si>
  <si>
    <t>D.5. PERSONAL I+D POR REGIÓN Y UNIDAD DECLARANTE (JCE Y PROMEDIO MENSUAL).</t>
  </si>
  <si>
    <t>D.11.</t>
  </si>
  <si>
    <t>D.12.</t>
  </si>
  <si>
    <t>D.6. INVESTIGADORES POR ACTIVIDAD ECONÓMICA, EMPRESAS  (JCE Y PROMEDIO MENSUAL).</t>
  </si>
  <si>
    <t>D.8. PERSONAL I+D MUJERES POR OCUPACIÓN Y UNIDAD DECLARANTE (JCE Y PROMEDIO MENSUAL).</t>
  </si>
  <si>
    <t>D.9. PERSONAL I+D MUJERES POR TITULACIÓN FORMAL Y UNIDAD DECLARANTE (JCE Y PROMEDIO MENSUAL).</t>
  </si>
  <si>
    <t>D.11. INVESTIGADORAS MUJERES POR ACTIVIDAD ECONÓMICA, EMPRESAS (2013, JCE Y PROMEDIO MENSUAL).</t>
  </si>
  <si>
    <t>D.12. TENDENCIAS DE MUJERES: PERSONAL I+D, INVESTIGADORAS, OCUPACIÓN (JCE).</t>
  </si>
  <si>
    <t>Nota: los porcentajes están calculados en base al total de personal I+D según nivel de titulación formal (JCE), tabla "D.1".</t>
  </si>
  <si>
    <t>PERSONAL I+D MUJERES E INVESTIGADORAS MUJERES SEGÚN OCUPACIÓN Y TITULACIÓN FORMAL(JCE)</t>
  </si>
  <si>
    <t>C.16. GASTO EXTRAMUROS SEGÚN UNIDAD DECLARANTE.</t>
  </si>
  <si>
    <t>GASTO EXTRAMUROS SEGÚN UNIDAD DECLARANTE.</t>
  </si>
  <si>
    <t>D.3. PERSONAL I+D POR NIVEL DE TITULACIÓN FORMAL POR UNIDAD DECLARANTE.</t>
  </si>
  <si>
    <t>ANEXO1</t>
  </si>
  <si>
    <t>ANEXO2</t>
  </si>
  <si>
    <t>P: Preliminar</t>
  </si>
  <si>
    <t>Entre 10 y 20 años</t>
  </si>
  <si>
    <t>Mas de 20 años</t>
  </si>
  <si>
    <t>Ratio Exportaciones/Ventas</t>
  </si>
  <si>
    <t>Nota: Para los años 2011 y 2012, existe un pocentaje menor al 1% de unidades que declararon hacer I+D, pero no reportaron su desglose por objetivo socioeconomico. Esto implica que en las sumas totales están subrepresentadas en el cuadro anterior.</t>
  </si>
  <si>
    <t>Gasto Corriente: Comprende gasto salarial y otros gastos corrientes en I+D. Para más detalles, ver formulario.</t>
  </si>
  <si>
    <t>Nota: Para 2007 y 2008 la encuesta no cubría a los Observatorios Astronómicos</t>
  </si>
  <si>
    <t>*No es posible desglosar por continentes</t>
  </si>
  <si>
    <t>PERSONAL I+D SEGÚN NIVEL DE TITULACIÓN FORMAL (Promedio Mensual Anual)</t>
  </si>
  <si>
    <t>PERSONAL I+D MUJERES POR OCUPACIÓN (JCE)</t>
  </si>
  <si>
    <t>PERSONAL I+D MUJERES POR TITULACIÓN FORMAL (JCE)</t>
  </si>
  <si>
    <t>MUJERES INVESTIGADORAS POR TITULACIÓN FORMAL (JCE)</t>
  </si>
  <si>
    <t xml:space="preserve">Fuente: Primera, Segunda, Tercera, Cuarta y Quinta Encuesta Nacional sobre Gasto y Personal en I+D. Se utilizó el deflactor del IPC desde el INE y datos de cuentas nacionales del Banco Central de Chile para PIB. </t>
  </si>
  <si>
    <t>2014p</t>
  </si>
  <si>
    <t>GASTO EN I+D CHILE v/s OCDE (2014).</t>
  </si>
  <si>
    <t>PERSONAL OCUPADO EN I+D CHILE v/s OCDE (2014).</t>
  </si>
  <si>
    <t>EMPRESAS: TOTAL DE VENTAS Y EXPORTACIONES SEGÚN ACTIVIDAD ECONÓMICA (2014).</t>
  </si>
  <si>
    <t>EMPRESAS EXPORTADORAS Y GASTO EN I+D SEGÚN ACTIVIDAD ECONÓMICA (2014).</t>
  </si>
  <si>
    <t>UNIDADES QUE REALIZAN GASTO EN I+D (2014).</t>
  </si>
  <si>
    <t>EMPRESAS QUE REALIZAN GASTO EN I+D (2014).</t>
  </si>
  <si>
    <t>GASTO EN I+D SEGÚN FUENTE DE FINANCIAMIENTO Y SECTOR DE EJECUCIÓN (2014).</t>
  </si>
  <si>
    <t>EMPRESAS: GASTO I+D SEGÚN ACTIVIDAD ECONÓMICA (2014).</t>
  </si>
  <si>
    <t>GASTO I+D SEGÚN REGIÓN (2014).</t>
  </si>
  <si>
    <t>GASTO EXTRAMUROS SEGÚN ACTIVIDAD ECONÓMICA (2014).</t>
  </si>
  <si>
    <t>PERSONAL I+D POR REGIÓN Y UNIDAD DECLARANTE (2014, JCE Y PROMEDIO MENSUAL).</t>
  </si>
  <si>
    <t>INVESTIGADORES POR ACTIVIDAD ECONÓMICA, EMPRESAS (2014, JCE Y PROMEDIO MENSUAL).</t>
  </si>
  <si>
    <t>INVESTIGADORES SEGÚN ÁREA DEL CONOCIMIENTO Y UNIDAD DECLARANTE (2014, JCE).</t>
  </si>
  <si>
    <t>PERSONAL I+D MUJERES POR OCUPACIÓN Y UNIDAD DECLARANTE (2014, JCE Y PROMEDIO MENSUAL).</t>
  </si>
  <si>
    <t>PERSONAL I+D MUJERES POR TITULACIÓN FORMAL Y UNIDAD DECLARANTE (2014, JCE Y PROMEDIO MENSUAL).</t>
  </si>
  <si>
    <t>INVESTIGADORAS MUJERES POR TITULACIÓN FORMAL Y UNIDAD DECLARANTE (2014, JCE Y PROMEDIO MENSUAL).</t>
  </si>
  <si>
    <t>INVESTIGADORAS MUJERES POR ACTIVIDAD ECONÓMICA, EMPRESAS (2014, JCE Y PROMEDIO MENSUAL).</t>
  </si>
  <si>
    <t>Nueva Zelandia</t>
  </si>
  <si>
    <t>México (2014)</t>
  </si>
  <si>
    <t>Sudáfrica (2012)</t>
  </si>
  <si>
    <t>Irlanda (2012)</t>
  </si>
  <si>
    <t>GASTO I+D COMO % DEL PIB (2013 O ÚLTIMO AÑO DISPONIBLE)</t>
  </si>
  <si>
    <t>Singapur (2012)</t>
  </si>
  <si>
    <t>Austria (2014)</t>
  </si>
  <si>
    <t>Corea</t>
  </si>
  <si>
    <t>Fuente: Main Science and Technology Indicators Database, OECD, enero 2016. Dato para Chile es en base a la Quinta Encuesta Nacional sobre Gasto y Personal en I+D y es preliminar.</t>
  </si>
  <si>
    <t>Nota: El dato para Chile corresponde al año 2014 y fue calculado desde el total de personal en I+D promedio mensual dividido por los ocupados de diciembre de 2014.</t>
  </si>
  <si>
    <t>Cantidad de empresas con Gasto en I+D</t>
  </si>
  <si>
    <t>EMPRESAS (MM$ reales de 2014)</t>
  </si>
  <si>
    <t>GASTO EN I+D SEGÚN SI EXPORTA (MM$ reales de 2014)</t>
  </si>
  <si>
    <t>PROMEDIO DE GASTO I+D SI EXPORTA (MM$ reales de 2014)</t>
  </si>
  <si>
    <t>Gasto interno I+D (MM$ corrientes)</t>
  </si>
  <si>
    <t>NÚMERO DE EMPRESAS QUE REALIZAN GASTO EN I+D</t>
  </si>
  <si>
    <t>C3000-C3003,  Unidad_declarante (5°Encuesta); Unidad_Declarante (2°, 3° y 4° Encuesta).</t>
  </si>
  <si>
    <t>C3000-C3003, COD_ACTIVIDAD (5° Encuesta).</t>
  </si>
  <si>
    <t>Fuente: Main Science and Technology Indicators Database, OECD, enero 2016. Quinta Encuesta de Gasto y Personal en I+D e Informe de Empleo Trimestral INE Octubre-Diciembre 2014.</t>
  </si>
  <si>
    <t>MÓDULO D: GASTO EN INVESTIGACIÓN Y DESARROLLO (I+D)</t>
  </si>
  <si>
    <t>D.1 GASTO TOTAL EJECUTADO INTRAMURO EN I+D, SEGÚN TIPO DE GASTO, AÑO 2014</t>
  </si>
  <si>
    <t>Informe sobre los recursos destinados a las I+D ejecutados al interior de la unidad, cualquiera sea el origen de los fondos, sean estos de carácter públicos o privados, y desglose dichas cifras, según tipo de gasto y libres de IVA.</t>
  </si>
  <si>
    <t>EJECUCIÓN INTERNA EN I+D AÑO 2014 (GASTO INTRAMURO)</t>
  </si>
  <si>
    <t>2014 (Miles de $)</t>
  </si>
  <si>
    <t>Gasto salarial</t>
  </si>
  <si>
    <t xml:space="preserve"> ( Basado en módulo C)</t>
  </si>
  <si>
    <t>TOTAL GASTO SALARIAL ( 1 + 2 + 3 )</t>
  </si>
  <si>
    <t>Otros gastos en I+D</t>
  </si>
  <si>
    <t>4. Arriendo de bienes inmuebles (incluye terrenos, edificios, laboratorios, salas y otros)</t>
  </si>
  <si>
    <t>5. Compras de otros servicios (incluye suministros, reparaciones, suscripciones, seguridad, aseo, almacenamiento, prop.intelectual, viáticos y costos de representación, entre otros)**</t>
  </si>
  <si>
    <t>6. Compra de materiales (incluye artículos de oficina, materiales de laboratorio, productos químicos, etc.)</t>
  </si>
  <si>
    <t>TOTAL OTROS GASTOS EN I+D ( 4 + 5 + 6 )</t>
  </si>
  <si>
    <t>TOTAL GASTO SALARIAL + OTROS GASTOS EN I+D (1+2+3+4+5+6)</t>
  </si>
  <si>
    <t>7. Terrenos (incuye la adquisición de terrenos para I+D, tales como terrenos de prueba, solares para laboratorios, plantas piloto)</t>
  </si>
  <si>
    <t>8. Edificios (incluye gastos por mejora, modificación o reparación por compra o construcción de edificios)</t>
  </si>
  <si>
    <t>9. Equipos e instrumentos (incluye equipo de transporte, de radio, TV y comunicaciones; equipo y maquinaria de oficina, entre otras)</t>
  </si>
  <si>
    <t>10. Adquisición de software (incluye el pago cuota de licencias, manuales de programas)</t>
  </si>
  <si>
    <t>TOTAL INVERSIÓN ( 7+ 8 + 9 +10 )</t>
  </si>
  <si>
    <t>TOTAL GASTO INTRAMURO EN I+D (3014+3020)</t>
  </si>
  <si>
    <t>(*) Las definiciones de estas ocupaciones se encuentran en el módulo C del presente formulario.</t>
  </si>
  <si>
    <t>(**) Si no puede obtener el valor exacto de este gasto, puede estimarlo. Para ver ejemplos de estimación, consulte el Instructivo del informante.</t>
  </si>
  <si>
    <t>D.2 GASTO SALARIAL Y OTROS GASTOS EN I+D , SEGÚN TIPO DE INVESTIGACIÓN, AÑO 2014</t>
  </si>
  <si>
    <r>
      <t xml:space="preserve">Distribuya porcentualmente el "Gasto salarial y otros gastos en I+D" reportado en el código </t>
    </r>
    <r>
      <rPr>
        <b/>
        <sz val="11"/>
        <color theme="1"/>
        <rFont val="Arial Narrow"/>
        <family val="2"/>
      </rPr>
      <t>3014</t>
    </r>
    <r>
      <rPr>
        <sz val="11"/>
        <color theme="1"/>
        <rFont val="Arial Narrow"/>
        <family val="2"/>
      </rPr>
      <t xml:space="preserve"> de la sección D.1, según tipo de investigación.</t>
    </r>
  </si>
  <si>
    <t>Porcentaje %</t>
  </si>
  <si>
    <t>Consiste en trabajos experimentales o teóricos que se emprenden, principalmente, para obtener nuevos conocimientos acerca de los fundamentos de los fenómenos y hechos observables, sin pensar en darles ninguna aplicación o utilización determinada.</t>
  </si>
  <si>
    <t>Consiste también en trabajos originales realizados para adquirir nuevos conocimientos; sin embargo, está dirigido, fundamentalmente, hacia un objetivo práctico específico.</t>
  </si>
  <si>
    <t>Consiste en trabajos sistemáticos que aprovechan los conocimientos existentes obtenidos de la investigación y/o la experiencia práctica y está dirigido a la producción de nuevos materiales o dispositivos; a la puesta en marcha de nuevos provcesos, sistemas y servicios o a la mejora sustancial de los ya existentes.</t>
  </si>
  <si>
    <t xml:space="preserve">TOTAL SUMA </t>
  </si>
  <si>
    <t>D.3 GASTO TOTAL INTRAMURO EN I+D, SEGÚN FUENTE DE FINANCIAMIENTO, AÑO 2014</t>
  </si>
  <si>
    <r>
      <t xml:space="preserve">Informe sobre los recursos destinados a la I+D ejecutados al interior de la unidad, de acuerdo a lo reportado en </t>
    </r>
    <r>
      <rPr>
        <b/>
        <sz val="11"/>
        <color theme="1"/>
        <rFont val="Arial Narrow"/>
        <family val="2"/>
      </rPr>
      <t>3020</t>
    </r>
    <r>
      <rPr>
        <sz val="11"/>
        <color theme="1"/>
        <rFont val="Arial Narrow"/>
        <family val="2"/>
      </rPr>
      <t xml:space="preserve"> de la pregunta D.1, según fuente de financiamiento. Las transferencias no monetarias se deben valorizar en términos monetarios.</t>
    </r>
  </si>
  <si>
    <t>a) Fondos Nacionales</t>
  </si>
  <si>
    <t>Fondos Públicos Concursables (Subsidios de carácter público)</t>
  </si>
  <si>
    <t>Contratos con el Estado (incluídas las compras de I+D)</t>
  </si>
  <si>
    <t>Fondos propios de la unidad o institución (1)</t>
  </si>
  <si>
    <t>Fondos de empresas</t>
  </si>
  <si>
    <t>Fondos de Instituciones de educación superior (2)</t>
  </si>
  <si>
    <t>Fondos de Instituciones privadas sin fines de lucro (2)</t>
  </si>
  <si>
    <t>TOTAL  FONDOS NACIONALES</t>
  </si>
  <si>
    <t>b) Fondos internacionales (1)</t>
  </si>
  <si>
    <t>Sector Empresarial</t>
  </si>
  <si>
    <t>Adminsitración Pública</t>
  </si>
  <si>
    <t>Instituciones Privadas Sin Fines de Lucro</t>
  </si>
  <si>
    <t>Organizaciones Internacionales</t>
  </si>
  <si>
    <t>Union Europea</t>
  </si>
  <si>
    <t>TOTAL FONDOS INTERNACIONALES</t>
  </si>
  <si>
    <t>TOTAL FUENTES DE FINANCIAMIENTO (3100+3107)</t>
  </si>
  <si>
    <t>(1) Se entiende por fondos internacionales cualquier entrada de recursos provenientes de fuentes extranjeras, incluyendo aquellas internacionales provenientes de empresas u organismos.</t>
  </si>
  <si>
    <t xml:space="preserve">De los fondos internacionales informados, ¿Cuánto corresponde a consultorías de I+D?, señale en forma porcentual </t>
  </si>
  <si>
    <t>D.7 GASTO TOTAL EXTRAMURO EN I+D, CONTRATADO A TERCEROS DENTRO DE CHILE, AÑO 2014</t>
  </si>
  <si>
    <t>Indique el monto total de servicios de I+D contratos a terceros dentro de Chile.</t>
  </si>
  <si>
    <t>D.8 GASTO TOTAL EXTRAMURO EN I+D, CONTRATADO A TERCEROS EN EL EXTRANJERO, AÑO 2014</t>
  </si>
  <si>
    <r>
      <t xml:space="preserve">D.8.1 Indique el monto total por concepto de </t>
    </r>
    <r>
      <rPr>
        <u/>
        <sz val="10"/>
        <color theme="1"/>
        <rFont val="Arial Narrow"/>
        <family val="2"/>
      </rPr>
      <t>pago por licencias</t>
    </r>
    <r>
      <rPr>
        <sz val="10"/>
        <color theme="1"/>
        <rFont val="Arial Narrow"/>
        <family val="2"/>
      </rPr>
      <t xml:space="preserve"> de uso en los resultados de I+D</t>
    </r>
  </si>
  <si>
    <t>Por pago de licencia nos referimos al pago por el uso de resultados de I+D ya patentada, por ejemplo el pago por el uso de un software creado fuera del país.</t>
  </si>
  <si>
    <r>
      <t xml:space="preserve">D.8.2 Indique el monto total por concepto de </t>
    </r>
    <r>
      <rPr>
        <u/>
        <sz val="11"/>
        <color theme="1"/>
        <rFont val="Arial Narrow"/>
        <family val="2"/>
      </rPr>
      <t>pagos por servicios de I+D</t>
    </r>
    <r>
      <rPr>
        <sz val="11"/>
        <color theme="1"/>
        <rFont val="Arial Narrow"/>
        <family val="2"/>
      </rPr>
      <t xml:space="preserve"> contratados en el extranjero, según continente</t>
    </r>
  </si>
  <si>
    <t xml:space="preserve">América </t>
  </si>
  <si>
    <t>Por  pagos por  servicios de I+D nos referimos al pago por la prestación de un servicio que tiene por objetivo generar I+D, por ejemplo la contratación de una universidad extranjera para la realizacion de un determinado estudio.</t>
  </si>
  <si>
    <t>Año 2014</t>
  </si>
  <si>
    <t>MÓDULO E: PROPIEDAD INTELECTUAL</t>
  </si>
  <si>
    <t>E.1.  Durante el año 2014, señale cuán importante fueron los siguientes métodos de protección de las invenciones e innovaciones (propiedad intelectual),  para rentabilizar su inversión en I+D. Marque con X.</t>
  </si>
  <si>
    <t>Métodos de protección</t>
  </si>
  <si>
    <t>Alta</t>
  </si>
  <si>
    <t>Media</t>
  </si>
  <si>
    <t>Baja</t>
  </si>
  <si>
    <t>Nula</t>
  </si>
  <si>
    <t>1. Marca</t>
  </si>
  <si>
    <t>2. Patente</t>
  </si>
  <si>
    <t>3. Modelo de utilidad</t>
  </si>
  <si>
    <t>4. Derecho industrial</t>
  </si>
  <si>
    <t>5. Derechos de autor</t>
  </si>
  <si>
    <t>6. Variedades vegetales</t>
  </si>
  <si>
    <t>E.2. Durante el año 2014, ¿Ha transferido a terceros, mediante licenciamiento, venta o cesión, algún tipo de propiedad intelectual que le haya sido concedido con anterioridad? Marque con X según corresponda.</t>
  </si>
  <si>
    <t>SÍ</t>
  </si>
  <si>
    <t>NO</t>
  </si>
  <si>
    <t>N/A</t>
  </si>
  <si>
    <t>GASTO EN I+D SEGÚN FUENTE DE FINANCIAMIENTO (MM$ reales de 2014).</t>
  </si>
  <si>
    <t>C.4. GASTO EN I+D SEGÚN FUENTE DE FINANCIAMIENTO (MM$ reales de 2014).</t>
  </si>
  <si>
    <t>C.5. GASTO EN I+D SEGÚN FUENTE DE FINANCIAMIENTO Y SECTOR DE EJECUCIÓN (MM$ corrientes 2014).</t>
  </si>
  <si>
    <t>C3020, COD_ACTIVIDAD (5° Encuesta).</t>
  </si>
  <si>
    <t>Fuentes de Financiamiento</t>
  </si>
  <si>
    <t>Con observatorios (fondos internacionales)</t>
  </si>
  <si>
    <t>Nota: Gastos correspondientes a observatorios fueron incluidos en Fondos Internacionales de Financiamiento y ejecutados por IPSFL (65.842 MM$)</t>
  </si>
  <si>
    <t>C3014, C3021-C3023, Unidad_declarante (5° Encuesta); P4056-P4061, Unidad_Declarante (2°, 3° Y 4° Encuesta).</t>
  </si>
  <si>
    <t>GASTO I+D SEGÚN OBJETIVO SOCIOECONÓMICO (MM$ reales de 2014)</t>
  </si>
  <si>
    <t>GASTO FINANCIADO INTERNACIONALMENTE (MM$ reales de 2014)</t>
  </si>
  <si>
    <t>C3020, TAMANO_EMPRESA (5°Encuesta);  tamaño (4° Encuesta); P4000, P4001, TAMANO_EMPRESA (3° Encuesta);  P4000, P4001, Tamaño_Empresa (2° Encuesta).</t>
  </si>
  <si>
    <t>GASTO I+D SEGÚN TAMAÑO DE LA EMPRESA (MM$ reales de 2014)</t>
  </si>
  <si>
    <t>Para todos los cuadros presentados a continuación, la fuente corresponde a la Segunda, Tercera, Cuarta y Quinta Encuesta de Gasto y Personal I+D, salvo que se especifique otra fuente.</t>
  </si>
  <si>
    <t>C3020, C3054-C3059, TAMANO_EMPRESA(5° Encuesta), tamaño (4° Encuesta); P4000, P4001, P4098-P4109, TAMAÑO_EMPRESA (2° y 3° Encuesta).</t>
  </si>
  <si>
    <t>GASTO POR ÁREA DEL CONOCIMIENTO (MM$ reales de 2014)</t>
  </si>
  <si>
    <t>A1003, C3020, UNIDAD_DECLARANTE (5° Encuesta); P024, P4000, P4001, Unidad_Declarante (2°, 3° Y 4° Encuesta).</t>
  </si>
  <si>
    <t xml:space="preserve">GASTO SEGÚN RANGO DE EDAD DE LA EMPRESA (MM$ reales de 2014)
</t>
  </si>
  <si>
    <t>GASTO EN I+D EXTRAMUROS SEGÚN UNIDAD DECLARANTE (MM$ reales de 2014)</t>
  </si>
  <si>
    <t>Datos de la quinta encuesta (año de referencia 2014)</t>
  </si>
  <si>
    <t>C3073, C3095-C3099, COD_ACTIVIDAD (5° Encuesta).</t>
  </si>
  <si>
    <t>TOTAL PERSONAL I+D POR OCUPACIÓN (JCE, 2014)</t>
  </si>
  <si>
    <t>TOTAL INVESTIGADORES POR TITULACIÓN FORMAL (JCE, 2014)</t>
  </si>
  <si>
    <t>D4303, D4323, D4700-D4714, UNIDAD_DECLARANTE (5° Encuesta)</t>
  </si>
  <si>
    <t>D4505, D4525, COD_ACTIVIDAD (5° Encuesta).</t>
  </si>
  <si>
    <t>D.7. INVESTIGADORES SEGÚN ÁREA DEL CONOCIMIENTO Y UNIDAD DECLARANTE 2014.</t>
  </si>
  <si>
    <t>D4600-D4605, Unidad_declarante (5° Encuesta).</t>
  </si>
  <si>
    <t>D4310-D4312, D4330-D4332, UNIDAD_DECLARANTE (5° Encuesta).</t>
  </si>
  <si>
    <t>D4410-D4414, D4430-D4434, UNIDAD_DECLARANTE (5° Encuesta).</t>
  </si>
  <si>
    <t>D.10. INVESTIGADORAS MUJERES POR TITULACIÓN FORMAL Y UNIDAD DECLARANTE (2014, JCE Y PROMEDIO MENSUAL).</t>
  </si>
  <si>
    <t>D4510-D4514, D4530-D4534, UNIDAD_DECLARANTE (5° Encuesta).</t>
  </si>
  <si>
    <t>D4515, D4535, COD_ACTIVIDAD, UNIDAD_DECLARANTE (5° Encuesta).</t>
  </si>
  <si>
    <t>Nota: los porcentajes están calculados en base al total de personal I+D según ocupación (JCE), tabla "D.2".</t>
  </si>
  <si>
    <t>D4330-D4332 ,D4430-D4434, D4530-D4534, UNIDAD_DECLARANTE (5° Encuesta); P4661, P4663, P4665, P4667, P4669, P4671, P4680, P4682, P4684, P4686, P4688, P4690, P4692, P4694, P4696, P4698, P4704, P4706, P4708, P4710, P4712, P4714, P4716, P4718, P4720, P4722 (2° y 3° Encuesta).</t>
  </si>
  <si>
    <t>Nota: los porcentajes están calculados en base al total de personal I+D investigadores según nivel de titulación formal (JCE), tabla "D.2".</t>
  </si>
  <si>
    <t>B2000, B2001, C3014, C3019, C3020 (5° Encuesta); P202, P203, P4000-P4003, P4014, P4015 (2° y 3° Encuesta).</t>
  </si>
  <si>
    <t>Gasto I+D  (MM$ reales de 2014)</t>
  </si>
  <si>
    <t>Chile (2014p)</t>
  </si>
  <si>
    <t xml:space="preserve">Nota1: Se incluye exclusivamente el gasto salarial y otros gasto corrientes en I+D (gastos corrientes) sin considerar los gastos de inversión en I+D (gastos de capital). </t>
  </si>
  <si>
    <t>Nota2: No están considerados los gastos en I+D de observatorios astronómicos.</t>
  </si>
  <si>
    <t>Nota: No se dispone de datos de personal en observatorios astronómicos para 2009 y 2010.</t>
  </si>
  <si>
    <t>Nota: No están considerado el personal en I+D de observatorios astronómicos ya que no es posible desglosarlos por región.</t>
  </si>
  <si>
    <t>Promedio Unión Europea (28 países)</t>
  </si>
  <si>
    <t>(MM$ corrientes, 2014p)</t>
  </si>
  <si>
    <t>Promedio de Gasto en I+D (MM$ corrientes, 2014p)</t>
  </si>
  <si>
    <t xml:space="preserve"> (MM$ corrientes, 2014p)</t>
  </si>
  <si>
    <t>(*) Incluye la elaboración de productos alimenticios y fabricación de sustancias y productos químicos</t>
  </si>
  <si>
    <t xml:space="preserve">Comercio </t>
  </si>
  <si>
    <t>Información y comunicaciones (**)</t>
  </si>
  <si>
    <t>(**) Incluye el desarrollo de sistemas informáticos, consultoría informática y actividades relacionadas</t>
  </si>
  <si>
    <t>Actividades profesionales, científicas y técnicas (***)</t>
  </si>
  <si>
    <t>(***) Incluye Investigación científica y desarrollo</t>
  </si>
  <si>
    <t>(MM$ corrientes, 2013)</t>
  </si>
  <si>
    <t>Promedio de Gasto en I+D (MM$ corrientes, 2013)</t>
  </si>
  <si>
    <t xml:space="preserve"> (MM$ corrientes, 2013)</t>
  </si>
  <si>
    <t>Realizan I+D</t>
  </si>
  <si>
    <t>Realizan SOLO I+D Intramuros</t>
  </si>
  <si>
    <t>Realizan SOLO I+D extramuros</t>
  </si>
  <si>
    <t>Realizan I+D mixta (intramuros + extramuros)</t>
  </si>
  <si>
    <t>Realizan I+D (intramuros + mixta)*</t>
  </si>
  <si>
    <t>NÚMERO DE UNIDADES QUE REALIZAN GASTO EN I+D 2014p</t>
  </si>
  <si>
    <t>NÚMERO DE EMPRESAS QUE REALIZAN GASTO EN I+D  en base a CIIU rev.4 (2014p)</t>
  </si>
  <si>
    <t>GASTO EN I+D SEGÚN SECTOR DE EJECUCIÓN (MM$ reales de 2014).</t>
  </si>
  <si>
    <t>GASTO EN I+D SEGÚN SECTOR DE EJECUCIÓN (Porcentaje).</t>
  </si>
  <si>
    <t>C.1. UNIDADES QUE REALIZAN GASTO EN I+D.</t>
  </si>
  <si>
    <t>B.2. EMPRESAS EXPORTADORAS Y GASTO EN I+D SEGÚN ACTIVIDAD ECONÓMICA.</t>
  </si>
  <si>
    <t>Total 2014</t>
  </si>
  <si>
    <t>Total 2014p</t>
  </si>
  <si>
    <t>C3020, UNIDAD_DECLARANTE (5° Encuesta). P 4000, P4001,  Unidad_declarante (4a, 3a y 2a Encuesta).</t>
  </si>
  <si>
    <t>C3020, C3024-C3030, C3107, UNIDAD_DECLARANTE (5° Encuesta); P4000, P4001, P4624-P4635, Unidad_Declarante (2° ,3° Y 4° Encuesta).</t>
  </si>
  <si>
    <t>C3020,  C3024-C3030, UNIDAD_DECLARANTE (4° y 5° Encuesta).</t>
  </si>
  <si>
    <t>B2000, C3020, COD_ACTIVIDAD (4° y 5° Encuesta).</t>
  </si>
  <si>
    <t>EMPRESAS: ACTIVIDAD ECONÓMICA CATEGORÍAS  en base a CIIU rev.4 (2014p)</t>
  </si>
  <si>
    <t>Gasto  I+D (MM$ corrientes, 2014p)</t>
  </si>
  <si>
    <t>C3020, C3039-C3053; UNIDAD_DECLARANTE (4° y 5° Encuesta).</t>
  </si>
  <si>
    <t>GASTO EN I+D POR REGIONES Y UNIDAD DECLARANTE (MM$ corrientes 2013)</t>
  </si>
  <si>
    <t>GASTO EN I+D POR REGIONES Y UNIDAD DECLARANTE (MM$ corrientes 2014p)</t>
  </si>
  <si>
    <t>C3014, C3019, UNIDAD_DECLARANTE (4° y 5° Encuesta); P4002, P4003, P4014, P4015 Unidad_Declarante (2°y 3° Encuesta).</t>
  </si>
  <si>
    <t>C3020, C3054-C3059, UNIDAD_DECLARANTE (4° y 5° Encuesta); P4000, P4001, P4098-P4109, Unidad_Declarante (2° y 3° Encuesta).</t>
  </si>
  <si>
    <t>C3020, C3060-C3072, UNIDAD_DECLARANTE (4° y 5° Encuesta); P4000, P4001, P4112-P4117, P4120-P4125, P4128, P4129, P4134, P4135, P4640-P4649, Unidad_Declarante (2° y 3° Encuesta).</t>
  </si>
  <si>
    <t>C3031-C3036, C3107, UNIDAD_DECLARANTE (4° y 5° Encuesta); P4634, P4635, Unidad_Declarante (2° y 3° Encuesta).</t>
  </si>
  <si>
    <t>GASTO I+D POR FUENTE DE FINANCIAMIENTO Y  CONTINENTE (MM$ corrientes, 2014p)</t>
  </si>
  <si>
    <t>C3020, C3073, C3095-C3099, UNIDAD_DECLARANTE (4° y 5° Encuesta); P4650, P4659, Unidad_Declarante (2° y 3° Encuesta).</t>
  </si>
  <si>
    <t>Gasto extramuros por Continente y Unidad Declarante 2014 (MM$ corrientes, 2014p)</t>
  </si>
  <si>
    <t xml:space="preserve">D4420-D4424, UNIDAD_DECLARANTE (4° y 5° Encuesta);  P4249, P4255, P4261, P4267, P4273, P4279, P4285, P4291, P4297, P4303, Unidad_Declarante (2°y 3°). </t>
  </si>
  <si>
    <t>D4320-D4322, D4420-D4424, UNIDAD_DECLARANTE (4° y 5° Encuesta); P4201, P4207, P4213, P4219, P4225, P4231, P4249, P4255, P4261, P4267, P4273, P4279, P4285, P4291, P4297, P4303, Unidad_Declarante (2° y 3° Encuesta).</t>
  </si>
  <si>
    <t>D4400-D4404, UNIDAD_DECLARANTE (4° y 5° Encuesta), P4246, P4252, P4258, P4264, P4270, P4276, P4282, P4288, P4294, P4300, Unidad_Declarante (2° y 3° Encuesta).</t>
  </si>
  <si>
    <t>C4300-C4302, D4500-D4504, UNIDAD_DECLARANTE (4° y 5° Encuesta); P4198, P4204, P4210, P4216, P4222, P4228, P4318, P4324, P4330, P4336, P4342, P4348, P4354, P4360, P4366, P4372, Unidad_Declarante (2° y 3° Encuesta).</t>
  </si>
  <si>
    <t>UNIDAD DECLARANTE (Promedio Mensual Anual, 2014p)</t>
  </si>
  <si>
    <t>UNIDAD DECLARANTE (JCE, 2014p)</t>
  </si>
  <si>
    <t>EMPRESAS: INVESTIGADORES SEGÚN ACTIVIDAD-CIIU rev 4 (Promedio Mensual Anual, 2014p)</t>
  </si>
  <si>
    <t>EMPRESAS: INVESTIGADORES SEGÚN ACTIVIDAD-CIIU rev. 4 (JCE, 2014p)</t>
  </si>
  <si>
    <t>Nota: No están considerados los observatorios astronómicos.</t>
  </si>
  <si>
    <t>INVESTIGADORES SEGÚN ÁREA DEL CONOCIMIENTO (JCE, 2014p)</t>
  </si>
  <si>
    <t>TOTAL PERSONAL I+D POR OCUPACIÓN (Promedio Mensual Anual, 2014p)</t>
  </si>
  <si>
    <t>TOTAL PERSONAL I+D POR OCUPACIÓN (JCE, 2014p)</t>
  </si>
  <si>
    <t>PERSONAL I+D MUJERES POR OCUPACIÓN (Promedio Mensual Anual, 2014p)</t>
  </si>
  <si>
    <t>PERSONAL I+D MUJERES POR OCUPACIÓN (JCE, 2014p)</t>
  </si>
  <si>
    <t>PERSONAL I+D MUJERES POR TITULACIÓN FORMAL (Promedio Mensual Anual, 2014p)</t>
  </si>
  <si>
    <t>PERSONAL I+D MUJERES POR TITULACIÓN FORMAL (JCE, 2014p)</t>
  </si>
  <si>
    <t>TOTAL PERSONAL I+D POR TITULACIÓN FORMAL (Promedio Mensual Anual, 2014p)</t>
  </si>
  <si>
    <t>TOTAL PERSONAL I+D POR TITULACIÓN FORMAL (JCE, 2014p)</t>
  </si>
  <si>
    <t>MUJERES INVESTIGADORAS POR TITULACIÓN FORMAL (Promedio Mensual Anual, 2014p)</t>
  </si>
  <si>
    <t>MUJERES INVESTIGADORAS POR TITULACIÓN FORMAL (JCE, 2014p)</t>
  </si>
  <si>
    <t>TOTAL INVESTIGADORES POR TITULACIÓN FORMAL (Promedio Mensual Anual, 2014p)</t>
  </si>
  <si>
    <t>TOTAL INVESTIGADORES POR TITULACIÓN FORMAL (JCE, 2014p)</t>
  </si>
  <si>
    <t>EMPRESAS: MUJERES INVESTIGADORAS SEGÚN ACTIVIDAD-CIIU rev.4 (Promedio Mensual Anual, 2014p)</t>
  </si>
  <si>
    <t>EMPRESAS: MUJERES INVESTIGADORAS SEGÚN ACTIVIDAD-CIIU. Rev 4 (JCE, 2014p)</t>
  </si>
  <si>
    <t xml:space="preserve">Nota: Para los años 2009-2012 no hay datos desagregados por género. </t>
  </si>
  <si>
    <t>Nota: No están considerados datos de observatorios astronómicos.</t>
  </si>
  <si>
    <t>PERSONAL I+D POR CADA MIL TRABAJADORES 2013                                      (2014 PARA CHILE)</t>
  </si>
  <si>
    <t>GASTO EN I+D SEGÚN FUENTE DE FINANCIAMIENTO Y SECTOR DE EJECUCIÓN 2014p (MM$ corrientes 2014).</t>
  </si>
  <si>
    <t>GASTO EN I+D SEGÚN FUENTE DE FINANCIAMIENTO Y SECTOR DE EJECUCIÓN 2013 (MM$ corrientes 2013).</t>
  </si>
  <si>
    <t>GASTO EN I+D SEGÚN ÁREA DEL CONOCIMIENTO (MM$ reales de 2014)</t>
  </si>
  <si>
    <t>GASTO EN I+D SEGÚN TIPO DE INVESTIGACIÓN (MM$ reales de 2014)</t>
  </si>
  <si>
    <t>GASTO CORRIENTE V/S GASTO EN CAPITAL (MM$ reales de 2014)</t>
  </si>
  <si>
    <t>ACTIVIDAD ECONÓMICA CATEGORÍAS en base a CIIU rev.4 (2014p)</t>
  </si>
  <si>
    <t>Ejecutan I+D</t>
  </si>
  <si>
    <t>Ejecutan I+D Mixta</t>
  </si>
  <si>
    <t>Para todo el módulo D, de personal dedicado a I+D, se ocupan dos estándares de agrupación de personal, promedio mensual y jornada completa equivalente. Con la construcción de ambos estándares se generan datos agregados con decimales. Es por esto que para una misma variable agregada por categorías distintas, se producen diferencias mínimas en las sumas totales.</t>
  </si>
  <si>
    <t>Nota: Sectores J y M son considerados sectores KIBS (Knowledge Intensive Business Service)</t>
  </si>
  <si>
    <t>Nota: Gastos correspondientes a observatorios fueron incluidos en Fondos Internacionales de Financiamiento y ejecutados por IPSFL (70.211 MM$ para el 2013 y 65.824 MM$ para el 2014).</t>
  </si>
  <si>
    <t>Nota: Para los años 2011 y 2012, existe un porcentaje menor al 1% de unidades que declararon hacer I+D, pero no reportaron su desglose por área del conocimiento. Esto implica que en las sumas totales están subrepresentadas en el cuadro anterior.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</si>
</sst>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_ ;\-#,##0\ "/>
    <numFmt numFmtId="165" formatCode="0.0%"/>
    <numFmt numFmtId="166" formatCode="_(* #,##0.00_);_(* \(#,##0.00\);_(* &quot;-&quot;??_);_(@_)"/>
    <numFmt numFmtId="167" formatCode="_-* #,##0_-;\-* #,##0_-;_-* &quot;-&quot;??_-;_-@_-"/>
    <numFmt numFmtId="168" formatCode="0.000%"/>
    <numFmt numFmtId="169" formatCode="0.0"/>
    <numFmt numFmtId="170" formatCode="0.000000000%"/>
  </numFmts>
  <fonts count="6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i/>
      <sz val="11"/>
      <color theme="1"/>
      <name val="Calibri"/>
      <family val="2"/>
      <scheme val="minor"/>
    </font>
    <font>
      <u/>
      <sz val="11"/>
      <color theme="1"/>
      <name val="Calibri"/>
      <family val="2"/>
      <scheme val="minor"/>
    </font>
    <font>
      <b/>
      <u/>
      <sz val="11"/>
      <color theme="1"/>
      <name val="Calibri"/>
      <family val="2"/>
      <scheme val="minor"/>
    </font>
    <font>
      <u/>
      <sz val="11"/>
      <color theme="10"/>
      <name val="Calibri"/>
      <family val="2"/>
      <scheme val="minor"/>
    </font>
    <font>
      <b/>
      <sz val="11"/>
      <color theme="0" tint="-0.34998626667073579"/>
      <name val="Calibri"/>
      <family val="2"/>
      <scheme val="minor"/>
    </font>
    <font>
      <b/>
      <sz val="11"/>
      <name val="Calibri"/>
      <family val="2"/>
      <scheme val="minor"/>
    </font>
    <font>
      <sz val="11"/>
      <color indexed="8"/>
      <name val="Calibri"/>
      <family val="2"/>
    </font>
    <font>
      <sz val="10"/>
      <name val="System"/>
      <family val="2"/>
    </font>
    <font>
      <sz val="10"/>
      <name val="MS Sans Serif"/>
      <family val="2"/>
    </font>
    <font>
      <b/>
      <sz val="10"/>
      <name val="Arial"/>
      <family val="2"/>
    </font>
    <font>
      <sz val="10"/>
      <color theme="1" tint="0.34998626667073579"/>
      <name val="Calibri"/>
      <family val="2"/>
      <scheme val="minor"/>
    </font>
    <font>
      <b/>
      <sz val="10"/>
      <color theme="1" tint="0.34998626667073579"/>
      <name val="Calibri"/>
      <family val="2"/>
      <scheme val="minor"/>
    </font>
    <font>
      <sz val="10"/>
      <color theme="0"/>
      <name val="Calibri"/>
      <family val="2"/>
      <scheme val="minor"/>
    </font>
    <font>
      <sz val="11"/>
      <color rgb="FFFF0000"/>
      <name val="Calibri"/>
      <family val="2"/>
      <scheme val="minor"/>
    </font>
    <font>
      <sz val="11"/>
      <name val="Calibri"/>
      <family val="2"/>
      <scheme val="minor"/>
    </font>
    <font>
      <sz val="9"/>
      <name val="Calibri"/>
      <family val="2"/>
      <scheme val="minor"/>
    </font>
    <font>
      <sz val="8"/>
      <name val="Calibri"/>
      <family val="2"/>
      <scheme val="minor"/>
    </font>
    <font>
      <b/>
      <sz val="9"/>
      <name val="Calibri"/>
      <family val="2"/>
      <scheme val="minor"/>
    </font>
    <font>
      <sz val="7"/>
      <name val="Calibri"/>
      <family val="2"/>
      <scheme val="minor"/>
    </font>
    <font>
      <sz val="6"/>
      <name val="Calibri"/>
      <family val="2"/>
      <scheme val="minor"/>
    </font>
    <font>
      <sz val="12"/>
      <name val="Calibri"/>
      <family val="2"/>
      <scheme val="minor"/>
    </font>
    <font>
      <sz val="10"/>
      <name val="Arial"/>
      <family val="2"/>
    </font>
    <font>
      <i/>
      <sz val="1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theme="1"/>
      <name val="Arial Narrow"/>
      <family val="2"/>
    </font>
    <font>
      <b/>
      <sz val="14"/>
      <color theme="1"/>
      <name val="Arial Narrow"/>
      <family val="2"/>
    </font>
    <font>
      <sz val="10"/>
      <color theme="1"/>
      <name val="Arial Narrow"/>
      <family val="2"/>
    </font>
    <font>
      <b/>
      <sz val="11"/>
      <color theme="1"/>
      <name val="Arial Narrow"/>
      <family val="2"/>
    </font>
    <font>
      <b/>
      <sz val="9"/>
      <color theme="1"/>
      <name val="Arial Narrow"/>
      <family val="2"/>
    </font>
    <font>
      <sz val="9"/>
      <color theme="1"/>
      <name val="Arial Narrow"/>
      <family val="2"/>
    </font>
    <font>
      <sz val="8"/>
      <color theme="1"/>
      <name val="Arial Narrow"/>
      <family val="2"/>
    </font>
    <font>
      <sz val="7"/>
      <color theme="1"/>
      <name val="Arial Narrow"/>
      <family val="2"/>
    </font>
    <font>
      <b/>
      <sz val="10"/>
      <color theme="1"/>
      <name val="Arial Narrow"/>
      <family val="2"/>
    </font>
    <font>
      <b/>
      <sz val="7"/>
      <color theme="1"/>
      <name val="Arial Narrow"/>
      <family val="2"/>
    </font>
    <font>
      <u/>
      <sz val="10"/>
      <color theme="1"/>
      <name val="Arial Narrow"/>
      <family val="2"/>
    </font>
    <font>
      <u/>
      <sz val="11"/>
      <color theme="1"/>
      <name val="Arial Narrow"/>
      <family val="2"/>
    </font>
    <font>
      <sz val="11"/>
      <color indexed="8"/>
      <name val="Arial Narrow"/>
      <family val="2"/>
    </font>
    <font>
      <b/>
      <sz val="11"/>
      <color indexed="8"/>
      <name val="Arial Narrow"/>
      <family val="2"/>
    </font>
    <font>
      <b/>
      <sz val="10"/>
      <color indexed="8"/>
      <name val="Arial Narrow"/>
      <family val="2"/>
    </font>
    <font>
      <sz val="8"/>
      <color indexed="8"/>
      <name val="Arial Narrow"/>
      <family val="2"/>
    </font>
    <font>
      <sz val="10"/>
      <color indexed="8"/>
      <name val="Arial Narrow"/>
      <family val="2"/>
    </font>
    <font>
      <sz val="7"/>
      <color indexed="8"/>
      <name val="Arial Narrow"/>
      <family val="2"/>
    </font>
    <font>
      <sz val="9"/>
      <color indexed="8"/>
      <name val="Arial Narrow"/>
      <family val="2"/>
    </font>
    <font>
      <sz val="10"/>
      <name val="Arial"/>
      <family val="2"/>
    </font>
    <font>
      <b/>
      <sz val="10"/>
      <color theme="1"/>
      <name val="Calibri"/>
      <family val="2"/>
      <scheme val="minor"/>
    </font>
  </fonts>
  <fills count="4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9"/>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rgb="FF6BB02B"/>
        <bgColor indexed="64"/>
      </patternFill>
    </fill>
    <fill>
      <patternFill patternType="solid">
        <fgColor rgb="FF2F5FAE"/>
        <bgColor indexed="64"/>
      </patternFill>
    </fill>
    <fill>
      <patternFill patternType="solid">
        <fgColor rgb="FF952CB5"/>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0" tint="-0.14999847407452621"/>
        <bgColor theme="0"/>
      </patternFill>
    </fill>
    <fill>
      <patternFill patternType="solid">
        <fgColor indexed="65"/>
        <bgColor theme="0"/>
      </patternFill>
    </fill>
  </fills>
  <borders count="64">
    <border>
      <left/>
      <right/>
      <top/>
      <bottom/>
      <diagonal/>
    </border>
    <border>
      <left/>
      <right/>
      <top style="thin">
        <color indexed="64"/>
      </top>
      <bottom style="double">
        <color indexed="64"/>
      </bottom>
      <diagonal/>
    </border>
    <border>
      <left/>
      <right/>
      <top style="double">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670">
    <xf numFmtId="0" fontId="0" fillId="0" borderId="0"/>
    <xf numFmtId="9" fontId="1" fillId="0" borderId="0" applyFont="0" applyFill="0" applyBorder="0" applyAlignment="0" applyProtection="0"/>
    <xf numFmtId="0" fontId="3" fillId="0" borderId="0"/>
    <xf numFmtId="0" fontId="4" fillId="0" borderId="0"/>
    <xf numFmtId="43" fontId="1" fillId="0" borderId="0" applyFont="0" applyFill="0" applyBorder="0" applyAlignment="0" applyProtection="0"/>
    <xf numFmtId="0" fontId="8" fillId="0" borderId="0" applyNumberFormat="0" applyFill="0" applyBorder="0" applyAlignment="0" applyProtection="0"/>
    <xf numFmtId="166" fontId="11" fillId="0" borderId="0" applyFont="0" applyFill="0" applyBorder="0" applyAlignment="0" applyProtection="0"/>
    <xf numFmtId="43" fontId="4" fillId="0" borderId="0" applyFont="0" applyFill="0" applyBorder="0" applyAlignment="0" applyProtection="0"/>
    <xf numFmtId="0" fontId="12" fillId="0" borderId="0"/>
    <xf numFmtId="0" fontId="4" fillId="0" borderId="0"/>
    <xf numFmtId="0" fontId="13" fillId="0" borderId="0"/>
    <xf numFmtId="0" fontId="1" fillId="0" borderId="0"/>
    <xf numFmtId="9" fontId="11"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6"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28" fillId="0" borderId="0" applyNumberFormat="0" applyFill="0" applyBorder="0" applyAlignment="0" applyProtection="0"/>
    <xf numFmtId="0" fontId="29" fillId="0" borderId="40" applyNumberFormat="0" applyFill="0" applyAlignment="0" applyProtection="0"/>
    <xf numFmtId="0" fontId="30" fillId="0" borderId="41" applyNumberFormat="0" applyFill="0" applyAlignment="0" applyProtection="0"/>
    <xf numFmtId="0" fontId="31" fillId="0" borderId="42" applyNumberFormat="0" applyFill="0" applyAlignment="0" applyProtection="0"/>
    <xf numFmtId="0" fontId="31" fillId="0" borderId="0" applyNumberFormat="0" applyFill="0" applyBorder="0" applyAlignment="0" applyProtection="0"/>
    <xf numFmtId="0" fontId="32" fillId="15" borderId="0" applyNumberFormat="0" applyBorder="0" applyAlignment="0" applyProtection="0"/>
    <xf numFmtId="0" fontId="33" fillId="16" borderId="0" applyNumberFormat="0" applyBorder="0" applyAlignment="0" applyProtection="0"/>
    <xf numFmtId="0" fontId="34" fillId="17" borderId="0" applyNumberFormat="0" applyBorder="0" applyAlignment="0" applyProtection="0"/>
    <xf numFmtId="0" fontId="35" fillId="18" borderId="43" applyNumberFormat="0" applyAlignment="0" applyProtection="0"/>
    <xf numFmtId="0" fontId="36" fillId="19" borderId="44" applyNumberFormat="0" applyAlignment="0" applyProtection="0"/>
    <xf numFmtId="0" fontId="37" fillId="19" borderId="43" applyNumberFormat="0" applyAlignment="0" applyProtection="0"/>
    <xf numFmtId="0" fontId="38" fillId="0" borderId="45" applyNumberFormat="0" applyFill="0" applyAlignment="0" applyProtection="0"/>
    <xf numFmtId="0" fontId="39" fillId="20" borderId="46" applyNumberFormat="0" applyAlignment="0" applyProtection="0"/>
    <xf numFmtId="0" fontId="18" fillId="0" borderId="0" applyNumberFormat="0" applyFill="0" applyBorder="0" applyAlignment="0" applyProtection="0"/>
    <xf numFmtId="0" fontId="1" fillId="21" borderId="47" applyNumberFormat="0" applyFont="0" applyAlignment="0" applyProtection="0"/>
    <xf numFmtId="0" fontId="40" fillId="0" borderId="0" applyNumberFormat="0" applyFill="0" applyBorder="0" applyAlignment="0" applyProtection="0"/>
    <xf numFmtId="0" fontId="2" fillId="0" borderId="48" applyNumberFormat="0" applyFill="0" applyAlignment="0" applyProtection="0"/>
    <xf numFmtId="0" fontId="4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41" fillId="29" borderId="0" applyNumberFormat="0" applyBorder="0" applyAlignment="0" applyProtection="0"/>
    <xf numFmtId="0" fontId="4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41" fillId="45" borderId="0" applyNumberFormat="0" applyBorder="0" applyAlignment="0" applyProtection="0"/>
    <xf numFmtId="0" fontId="61" fillId="0" borderId="0"/>
  </cellStyleXfs>
  <cellXfs count="849">
    <xf numFmtId="0" fontId="0" fillId="0" borderId="0" xfId="0"/>
    <xf numFmtId="0" fontId="2" fillId="0" borderId="0" xfId="0" applyFont="1"/>
    <xf numFmtId="0" fontId="2" fillId="2" borderId="1" xfId="0" applyFont="1" applyFill="1" applyBorder="1"/>
    <xf numFmtId="0" fontId="2" fillId="0" borderId="3" xfId="0" applyFont="1" applyBorder="1"/>
    <xf numFmtId="0" fontId="2" fillId="2" borderId="1" xfId="0" applyFont="1" applyFill="1" applyBorder="1" applyAlignment="1">
      <alignment horizontal="center"/>
    </xf>
    <xf numFmtId="0" fontId="0" fillId="2" borderId="1" xfId="0" applyFill="1" applyBorder="1"/>
    <xf numFmtId="0" fontId="0" fillId="2" borderId="6" xfId="0" applyFill="1" applyBorder="1"/>
    <xf numFmtId="0" fontId="2" fillId="2" borderId="6" xfId="0" applyFont="1" applyFill="1" applyBorder="1"/>
    <xf numFmtId="0" fontId="2" fillId="2" borderId="0" xfId="0" applyFont="1" applyFill="1" applyBorder="1"/>
    <xf numFmtId="0" fontId="2" fillId="3" borderId="2" xfId="0" applyFont="1" applyFill="1" applyBorder="1"/>
    <xf numFmtId="0" fontId="2" fillId="3" borderId="0" xfId="0" applyFont="1" applyFill="1" applyBorder="1"/>
    <xf numFmtId="0" fontId="2" fillId="3" borderId="3" xfId="0" applyFont="1" applyFill="1" applyBorder="1"/>
    <xf numFmtId="0" fontId="2" fillId="2" borderId="6" xfId="0" applyFont="1" applyFill="1" applyBorder="1" applyAlignment="1">
      <alignment horizontal="center"/>
    </xf>
    <xf numFmtId="3" fontId="0" fillId="3" borderId="0" xfId="0" applyNumberFormat="1" applyFill="1" applyBorder="1" applyAlignment="1">
      <alignment horizontal="center"/>
    </xf>
    <xf numFmtId="0" fontId="5" fillId="0" borderId="0" xfId="0" applyFont="1"/>
    <xf numFmtId="0" fontId="2" fillId="2" borderId="4" xfId="0" applyFont="1" applyFill="1" applyBorder="1"/>
    <xf numFmtId="9" fontId="0" fillId="0" borderId="0" xfId="1" applyFont="1"/>
    <xf numFmtId="0" fontId="2" fillId="3" borderId="4" xfId="0" applyFont="1" applyFill="1" applyBorder="1"/>
    <xf numFmtId="0" fontId="2" fillId="3" borderId="0" xfId="0" applyFont="1" applyFill="1"/>
    <xf numFmtId="3" fontId="2" fillId="3" borderId="0" xfId="0" applyNumberFormat="1" applyFont="1" applyFill="1" applyAlignment="1">
      <alignment horizontal="center"/>
    </xf>
    <xf numFmtId="3" fontId="2" fillId="3" borderId="4" xfId="0" applyNumberFormat="1" applyFont="1" applyFill="1" applyBorder="1" applyAlignment="1">
      <alignment horizontal="center"/>
    </xf>
    <xf numFmtId="0" fontId="0" fillId="0" borderId="0" xfId="0"/>
    <xf numFmtId="0" fontId="0" fillId="0" borderId="0" xfId="0" applyAlignment="1"/>
    <xf numFmtId="0" fontId="0" fillId="0" borderId="0" xfId="0"/>
    <xf numFmtId="0" fontId="0" fillId="3" borderId="0" xfId="0" applyFill="1" applyBorder="1"/>
    <xf numFmtId="0" fontId="0" fillId="3" borderId="0" xfId="0" applyFill="1"/>
    <xf numFmtId="0" fontId="0" fillId="0" borderId="0" xfId="0"/>
    <xf numFmtId="0" fontId="2" fillId="3" borderId="2" xfId="0" applyFont="1" applyFill="1" applyBorder="1" applyAlignment="1">
      <alignment horizontal="left"/>
    </xf>
    <xf numFmtId="0" fontId="2" fillId="3" borderId="0" xfId="0" applyFont="1" applyFill="1" applyAlignment="1">
      <alignment horizontal="left"/>
    </xf>
    <xf numFmtId="0" fontId="2" fillId="3" borderId="5" xfId="0" applyFont="1" applyFill="1" applyBorder="1" applyAlignment="1">
      <alignment horizontal="left"/>
    </xf>
    <xf numFmtId="0" fontId="0" fillId="0" borderId="0" xfId="0"/>
    <xf numFmtId="0" fontId="0" fillId="3" borderId="0" xfId="0" applyFill="1" applyAlignment="1">
      <alignment horizontal="center"/>
    </xf>
    <xf numFmtId="0" fontId="2" fillId="3" borderId="3" xfId="0" applyFont="1" applyFill="1" applyBorder="1" applyAlignment="1">
      <alignment horizontal="center"/>
    </xf>
    <xf numFmtId="0" fontId="2" fillId="3" borderId="0" xfId="0" applyFont="1" applyFill="1" applyBorder="1" applyAlignment="1">
      <alignment horizontal="left"/>
    </xf>
    <xf numFmtId="0" fontId="2" fillId="3" borderId="3" xfId="0" applyFont="1" applyFill="1" applyBorder="1" applyAlignment="1">
      <alignment horizontal="left"/>
    </xf>
    <xf numFmtId="0" fontId="0" fillId="0" borderId="0" xfId="0"/>
    <xf numFmtId="0" fontId="0" fillId="0" borderId="0" xfId="0"/>
    <xf numFmtId="0" fontId="0" fillId="0" borderId="0" xfId="0"/>
    <xf numFmtId="0" fontId="2" fillId="3" borderId="2" xfId="0" applyFont="1" applyFill="1" applyBorder="1" applyAlignment="1">
      <alignment horizontal="center"/>
    </xf>
    <xf numFmtId="0" fontId="2" fillId="3" borderId="0" xfId="0" applyFont="1" applyFill="1" applyBorder="1" applyAlignment="1">
      <alignment horizontal="center"/>
    </xf>
    <xf numFmtId="0" fontId="0" fillId="0" borderId="0" xfId="0"/>
    <xf numFmtId="0" fontId="0" fillId="0" borderId="0" xfId="0"/>
    <xf numFmtId="9" fontId="0" fillId="3" borderId="0" xfId="1" applyFont="1" applyFill="1" applyAlignment="1">
      <alignment horizontal="center"/>
    </xf>
    <xf numFmtId="0" fontId="0" fillId="0" borderId="0" xfId="0"/>
    <xf numFmtId="9" fontId="2" fillId="3" borderId="0" xfId="1" applyFont="1" applyFill="1" applyAlignment="1">
      <alignment horizontal="center"/>
    </xf>
    <xf numFmtId="9" fontId="2" fillId="3" borderId="4" xfId="1" applyFont="1" applyFill="1" applyBorder="1" applyAlignment="1">
      <alignment horizontal="center"/>
    </xf>
    <xf numFmtId="0" fontId="0" fillId="0" borderId="0" xfId="0"/>
    <xf numFmtId="0" fontId="0" fillId="0" borderId="0" xfId="0" applyBorder="1"/>
    <xf numFmtId="3" fontId="0" fillId="3" borderId="5" xfId="0" applyNumberFormat="1" applyFill="1" applyBorder="1" applyAlignment="1">
      <alignment horizontal="center"/>
    </xf>
    <xf numFmtId="3" fontId="2" fillId="3" borderId="3" xfId="0" applyNumberFormat="1" applyFont="1" applyFill="1" applyBorder="1" applyAlignment="1">
      <alignment horizontal="center"/>
    </xf>
    <xf numFmtId="3" fontId="2" fillId="3" borderId="0" xfId="0" applyNumberFormat="1" applyFont="1" applyFill="1" applyAlignment="1">
      <alignment horizontal="center"/>
    </xf>
    <xf numFmtId="3" fontId="2" fillId="3" borderId="0" xfId="0" applyNumberFormat="1" applyFont="1" applyFill="1" applyBorder="1" applyAlignment="1">
      <alignment horizontal="center"/>
    </xf>
    <xf numFmtId="0" fontId="2" fillId="2" borderId="6" xfId="0" applyFont="1" applyFill="1" applyBorder="1" applyAlignment="1">
      <alignment horizontal="center"/>
    </xf>
    <xf numFmtId="3" fontId="0" fillId="3" borderId="0" xfId="0" applyNumberFormat="1" applyFill="1" applyBorder="1" applyAlignment="1">
      <alignment horizontal="center"/>
    </xf>
    <xf numFmtId="0" fontId="0" fillId="0" borderId="0" xfId="0"/>
    <xf numFmtId="0" fontId="6" fillId="0" borderId="0" xfId="0" applyFont="1"/>
    <xf numFmtId="3" fontId="0" fillId="0" borderId="0" xfId="0" applyNumberFormat="1"/>
    <xf numFmtId="0" fontId="0" fillId="0" borderId="0" xfId="0" applyAlignment="1">
      <alignment horizontal="center"/>
    </xf>
    <xf numFmtId="0" fontId="2" fillId="2" borderId="7" xfId="0" applyFont="1" applyFill="1" applyBorder="1"/>
    <xf numFmtId="0" fontId="8" fillId="0" borderId="0" xfId="5"/>
    <xf numFmtId="3" fontId="0" fillId="3" borderId="0" xfId="0" applyNumberFormat="1" applyFont="1" applyFill="1" applyAlignment="1">
      <alignment horizontal="center"/>
    </xf>
    <xf numFmtId="3" fontId="0" fillId="3" borderId="0" xfId="0" applyNumberFormat="1" applyFont="1" applyFill="1" applyBorder="1" applyAlignment="1">
      <alignment horizontal="center"/>
    </xf>
    <xf numFmtId="0" fontId="0" fillId="0" borderId="0" xfId="0"/>
    <xf numFmtId="0" fontId="0" fillId="0" borderId="0" xfId="0"/>
    <xf numFmtId="0" fontId="0" fillId="0" borderId="0" xfId="0"/>
    <xf numFmtId="3" fontId="0" fillId="3" borderId="3" xfId="0" applyNumberFormat="1" applyFont="1" applyFill="1" applyBorder="1" applyAlignment="1">
      <alignment horizontal="center"/>
    </xf>
    <xf numFmtId="0" fontId="2" fillId="2" borderId="5" xfId="0" applyFont="1" applyFill="1" applyBorder="1"/>
    <xf numFmtId="0" fontId="0" fillId="3" borderId="3" xfId="0" applyFill="1" applyBorder="1"/>
    <xf numFmtId="0" fontId="0" fillId="3" borderId="5" xfId="0" applyFill="1" applyBorder="1" applyAlignment="1">
      <alignment horizontal="center"/>
    </xf>
    <xf numFmtId="0" fontId="14" fillId="2" borderId="6" xfId="3" applyFont="1" applyFill="1" applyBorder="1"/>
    <xf numFmtId="0" fontId="14" fillId="3" borderId="4" xfId="3" applyFont="1" applyFill="1" applyBorder="1"/>
    <xf numFmtId="0" fontId="14" fillId="2" borderId="6" xfId="3" applyFont="1" applyFill="1" applyBorder="1" applyAlignment="1">
      <alignment horizontal="center"/>
    </xf>
    <xf numFmtId="0" fontId="0" fillId="0" borderId="0" xfId="0" applyAlignment="1">
      <alignment wrapText="1"/>
    </xf>
    <xf numFmtId="0" fontId="14" fillId="3" borderId="0" xfId="3" applyFont="1" applyFill="1"/>
    <xf numFmtId="0" fontId="0" fillId="0" borderId="0" xfId="0" applyFont="1"/>
    <xf numFmtId="0" fontId="0" fillId="2" borderId="5" xfId="0" applyFill="1" applyBorder="1"/>
    <xf numFmtId="0" fontId="2" fillId="2" borderId="7" xfId="0" applyFont="1" applyFill="1" applyBorder="1" applyAlignment="1">
      <alignment horizontal="center"/>
    </xf>
    <xf numFmtId="0" fontId="0" fillId="0" borderId="7" xfId="0" applyBorder="1" applyAlignment="1">
      <alignment horizontal="center"/>
    </xf>
    <xf numFmtId="0" fontId="5" fillId="3" borderId="0" xfId="0" applyFont="1" applyFill="1"/>
    <xf numFmtId="0" fontId="2" fillId="2" borderId="6"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2" borderId="26" xfId="0" applyFont="1" applyFill="1" applyBorder="1" applyAlignment="1">
      <alignment horizontal="center"/>
    </xf>
    <xf numFmtId="0" fontId="2" fillId="2" borderId="27" xfId="0" applyFont="1" applyFill="1" applyBorder="1" applyAlignment="1">
      <alignment horizontal="center"/>
    </xf>
    <xf numFmtId="0" fontId="0" fillId="0" borderId="0" xfId="0" applyFill="1"/>
    <xf numFmtId="0" fontId="0" fillId="0" borderId="0" xfId="0" applyFill="1" applyBorder="1"/>
    <xf numFmtId="0" fontId="0" fillId="3" borderId="14" xfId="0" applyFill="1" applyBorder="1"/>
    <xf numFmtId="0" fontId="2" fillId="3" borderId="12" xfId="0" applyFont="1" applyFill="1" applyBorder="1"/>
    <xf numFmtId="0" fontId="0" fillId="0" borderId="0" xfId="0" applyFont="1" applyFill="1" applyBorder="1"/>
    <xf numFmtId="0" fontId="2" fillId="2" borderId="6" xfId="0" applyFont="1" applyFill="1" applyBorder="1" applyAlignment="1">
      <alignment horizontal="center" wrapText="1"/>
    </xf>
    <xf numFmtId="0" fontId="2" fillId="3" borderId="12" xfId="0" applyFont="1" applyFill="1" applyBorder="1" applyAlignment="1">
      <alignment horizontal="right"/>
    </xf>
    <xf numFmtId="0" fontId="2" fillId="2" borderId="12" xfId="0" applyFont="1" applyFill="1" applyBorder="1"/>
    <xf numFmtId="0" fontId="2" fillId="2" borderId="21" xfId="0" applyFont="1" applyFill="1" applyBorder="1"/>
    <xf numFmtId="0" fontId="2" fillId="3" borderId="14" xfId="0" applyFont="1" applyFill="1" applyBorder="1"/>
    <xf numFmtId="0" fontId="2" fillId="3" borderId="15" xfId="0" applyFont="1" applyFill="1" applyBorder="1"/>
    <xf numFmtId="3" fontId="0" fillId="0" borderId="0" xfId="0" applyNumberFormat="1" applyFill="1" applyBorder="1" applyAlignment="1">
      <alignment horizontal="center"/>
    </xf>
    <xf numFmtId="3" fontId="2" fillId="0" borderId="0" xfId="0" applyNumberFormat="1" applyFont="1" applyFill="1" applyBorder="1" applyAlignment="1">
      <alignment horizontal="center"/>
    </xf>
    <xf numFmtId="0" fontId="6" fillId="0" borderId="0" xfId="0" applyFont="1" applyFill="1" applyBorder="1"/>
    <xf numFmtId="0" fontId="0" fillId="0" borderId="3" xfId="0" applyFill="1" applyBorder="1"/>
    <xf numFmtId="0" fontId="0" fillId="0" borderId="3" xfId="0" applyNumberFormat="1" applyFill="1" applyBorder="1" applyAlignment="1">
      <alignment horizontal="center"/>
    </xf>
    <xf numFmtId="0" fontId="2" fillId="0" borderId="0" xfId="0" applyFont="1" applyFill="1"/>
    <xf numFmtId="3" fontId="0" fillId="0" borderId="0" xfId="0" applyNumberFormat="1" applyFont="1" applyFill="1" applyAlignment="1">
      <alignment horizontal="center"/>
    </xf>
    <xf numFmtId="0" fontId="18" fillId="0" borderId="0" xfId="0" applyFont="1"/>
    <xf numFmtId="0" fontId="18" fillId="0" borderId="0" xfId="0" applyFont="1" applyAlignment="1">
      <alignment vertical="center" wrapText="1"/>
    </xf>
    <xf numFmtId="0" fontId="2" fillId="2" borderId="14" xfId="0" applyFont="1" applyFill="1" applyBorder="1"/>
    <xf numFmtId="0" fontId="2" fillId="3" borderId="23" xfId="0" applyFont="1" applyFill="1" applyBorder="1"/>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0" borderId="5" xfId="0" applyBorder="1"/>
    <xf numFmtId="0" fontId="0" fillId="0" borderId="0" xfId="0"/>
    <xf numFmtId="0" fontId="0" fillId="2" borderId="4" xfId="0" applyFill="1" applyBorder="1"/>
    <xf numFmtId="0" fontId="0" fillId="0" borderId="0" xfId="0"/>
    <xf numFmtId="0" fontId="19" fillId="2" borderId="8" xfId="0" applyFont="1" applyFill="1" applyBorder="1"/>
    <xf numFmtId="0" fontId="19" fillId="2" borderId="10" xfId="0" applyFont="1" applyFill="1" applyBorder="1"/>
    <xf numFmtId="0" fontId="0" fillId="2" borderId="9" xfId="0" applyFill="1" applyBorder="1"/>
    <xf numFmtId="0" fontId="0" fillId="0" borderId="0" xfId="0"/>
    <xf numFmtId="0" fontId="0" fillId="0" borderId="0" xfId="0"/>
    <xf numFmtId="0" fontId="9" fillId="3" borderId="0" xfId="0" applyFont="1" applyFill="1" applyBorder="1"/>
    <xf numFmtId="0" fontId="0" fillId="0" borderId="0" xfId="0"/>
    <xf numFmtId="0" fontId="2" fillId="2" borderId="6" xfId="0" applyFont="1" applyFill="1" applyBorder="1" applyAlignment="1">
      <alignment horizontal="center"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xf>
    <xf numFmtId="0" fontId="0" fillId="2" borderId="17" xfId="0" applyFill="1" applyBorder="1"/>
    <xf numFmtId="0" fontId="0" fillId="2" borderId="21" xfId="0" applyFill="1" applyBorder="1"/>
    <xf numFmtId="0" fontId="0" fillId="0" borderId="0" xfId="0" applyAlignment="1">
      <alignment horizontal="left" vertical="top"/>
    </xf>
    <xf numFmtId="167" fontId="0" fillId="0" borderId="0" xfId="4" applyNumberFormat="1" applyFont="1" applyFill="1" applyBorder="1" applyAlignment="1">
      <alignment horizontal="center"/>
    </xf>
    <xf numFmtId="0" fontId="0" fillId="0" borderId="0" xfId="0" applyFill="1" applyBorder="1" applyAlignment="1">
      <alignment horizontal="center"/>
    </xf>
    <xf numFmtId="9" fontId="0" fillId="0" borderId="0" xfId="1" applyFont="1" applyFill="1" applyBorder="1" applyAlignment="1">
      <alignment horizontal="center"/>
    </xf>
    <xf numFmtId="0" fontId="2" fillId="2" borderId="21" xfId="0" applyFont="1" applyFill="1" applyBorder="1" applyAlignment="1">
      <alignment horizontal="center" vertical="center" wrapText="1"/>
    </xf>
    <xf numFmtId="43" fontId="0" fillId="0" borderId="0" xfId="0" applyNumberFormat="1"/>
    <xf numFmtId="0" fontId="2" fillId="3" borderId="0" xfId="0" applyFont="1" applyFill="1" applyBorder="1" applyAlignment="1">
      <alignment horizontal="left"/>
    </xf>
    <xf numFmtId="0" fontId="2" fillId="3" borderId="5" xfId="0" applyFont="1" applyFill="1" applyBorder="1" applyAlignment="1">
      <alignment horizontal="left"/>
    </xf>
    <xf numFmtId="0" fontId="0" fillId="0" borderId="0" xfId="0"/>
    <xf numFmtId="0" fontId="0" fillId="0" borderId="0" xfId="0"/>
    <xf numFmtId="0" fontId="0" fillId="0" borderId="0" xfId="0"/>
    <xf numFmtId="0" fontId="0" fillId="0" borderId="0" xfId="0"/>
    <xf numFmtId="0" fontId="0" fillId="0" borderId="0" xfId="0"/>
    <xf numFmtId="167" fontId="0" fillId="0" borderId="0" xfId="4" applyNumberFormat="1" applyFont="1"/>
    <xf numFmtId="3" fontId="0" fillId="3" borderId="25" xfId="0" applyNumberFormat="1" applyFill="1" applyBorder="1" applyAlignment="1">
      <alignment horizontal="center"/>
    </xf>
    <xf numFmtId="0" fontId="18" fillId="0" borderId="0" xfId="0" applyFont="1" applyAlignment="1">
      <alignment wrapText="1"/>
    </xf>
    <xf numFmtId="0" fontId="2" fillId="2" borderId="14" xfId="0" applyFont="1" applyFill="1" applyBorder="1" applyAlignment="1">
      <alignment horizontal="center"/>
    </xf>
    <xf numFmtId="9" fontId="2" fillId="3" borderId="28" xfId="1" applyFont="1" applyFill="1" applyBorder="1" applyAlignment="1">
      <alignment horizontal="center"/>
    </xf>
    <xf numFmtId="3" fontId="2" fillId="3" borderId="15" xfId="0" applyNumberFormat="1" applyFont="1" applyFill="1" applyBorder="1" applyAlignment="1">
      <alignment horizontal="center"/>
    </xf>
    <xf numFmtId="9" fontId="0" fillId="3" borderId="28" xfId="1" applyFont="1" applyFill="1" applyBorder="1" applyAlignment="1">
      <alignment horizontal="center"/>
    </xf>
    <xf numFmtId="3" fontId="0" fillId="0" borderId="0" xfId="0" applyNumberFormat="1"/>
    <xf numFmtId="0" fontId="0" fillId="0" borderId="0" xfId="0" applyBorder="1"/>
    <xf numFmtId="0" fontId="0" fillId="0" borderId="0" xfId="0"/>
    <xf numFmtId="3" fontId="0" fillId="3" borderId="0" xfId="4" applyNumberFormat="1" applyFont="1" applyFill="1" applyAlignment="1">
      <alignment horizontal="center"/>
    </xf>
    <xf numFmtId="0" fontId="0" fillId="0" borderId="0" xfId="0"/>
    <xf numFmtId="0" fontId="2" fillId="0" borderId="0" xfId="0" applyFont="1"/>
    <xf numFmtId="0" fontId="0" fillId="2" borderId="6" xfId="0" applyFill="1" applyBorder="1"/>
    <xf numFmtId="0" fontId="2" fillId="2" borderId="6" xfId="0" applyFont="1" applyFill="1" applyBorder="1"/>
    <xf numFmtId="0" fontId="2" fillId="3" borderId="2" xfId="0" applyFont="1" applyFill="1" applyBorder="1"/>
    <xf numFmtId="0" fontId="0" fillId="3" borderId="2" xfId="0" applyFill="1" applyBorder="1" applyAlignment="1">
      <alignment horizontal="center"/>
    </xf>
    <xf numFmtId="0" fontId="2" fillId="3" borderId="0" xfId="0" applyFont="1" applyFill="1" applyBorder="1"/>
    <xf numFmtId="0" fontId="0" fillId="3" borderId="0" xfId="0" applyFill="1" applyBorder="1" applyAlignment="1">
      <alignment horizontal="center"/>
    </xf>
    <xf numFmtId="0" fontId="2" fillId="3" borderId="3" xfId="0" applyFont="1" applyFill="1" applyBorder="1"/>
    <xf numFmtId="0" fontId="2" fillId="2" borderId="6" xfId="0" applyFont="1" applyFill="1" applyBorder="1" applyAlignment="1">
      <alignment horizontal="center"/>
    </xf>
    <xf numFmtId="3" fontId="0" fillId="3" borderId="2" xfId="0" applyNumberFormat="1" applyFill="1" applyBorder="1" applyAlignment="1">
      <alignment horizontal="center"/>
    </xf>
    <xf numFmtId="3" fontId="0" fillId="3" borderId="0" xfId="0" applyNumberFormat="1" applyFill="1" applyBorder="1" applyAlignment="1">
      <alignment horizontal="center"/>
    </xf>
    <xf numFmtId="3" fontId="0" fillId="3" borderId="3" xfId="0" applyNumberFormat="1" applyFill="1" applyBorder="1" applyAlignment="1">
      <alignment horizontal="center"/>
    </xf>
    <xf numFmtId="3" fontId="2" fillId="3" borderId="3" xfId="0" applyNumberFormat="1" applyFont="1" applyFill="1" applyBorder="1" applyAlignment="1">
      <alignment horizontal="center"/>
    </xf>
    <xf numFmtId="0" fontId="2" fillId="2" borderId="0" xfId="0" applyFont="1" applyFill="1" applyBorder="1" applyAlignment="1">
      <alignment horizontal="center"/>
    </xf>
    <xf numFmtId="0" fontId="2" fillId="3" borderId="4" xfId="0" applyFont="1" applyFill="1" applyBorder="1"/>
    <xf numFmtId="3" fontId="0" fillId="3" borderId="0" xfId="0" applyNumberFormat="1" applyFill="1" applyAlignment="1">
      <alignment horizontal="center"/>
    </xf>
    <xf numFmtId="3" fontId="2" fillId="3" borderId="4" xfId="0" applyNumberFormat="1" applyFont="1" applyFill="1" applyBorder="1" applyAlignment="1">
      <alignment horizontal="center"/>
    </xf>
    <xf numFmtId="9" fontId="0" fillId="3" borderId="2" xfId="1" applyFont="1" applyFill="1" applyBorder="1" applyAlignment="1">
      <alignment horizontal="center"/>
    </xf>
    <xf numFmtId="0" fontId="0" fillId="3" borderId="0" xfId="0" applyFill="1"/>
    <xf numFmtId="0" fontId="2" fillId="3" borderId="2" xfId="0" applyFont="1" applyFill="1" applyBorder="1" applyAlignment="1">
      <alignment horizontal="left"/>
    </xf>
    <xf numFmtId="0" fontId="2" fillId="3" borderId="5" xfId="0" applyFont="1" applyFill="1" applyBorder="1" applyAlignment="1">
      <alignment horizontal="left"/>
    </xf>
    <xf numFmtId="0" fontId="2" fillId="3" borderId="0" xfId="0" applyFont="1" applyFill="1" applyBorder="1" applyAlignment="1">
      <alignment horizontal="left"/>
    </xf>
    <xf numFmtId="0" fontId="2" fillId="3" borderId="2" xfId="0" applyFont="1" applyFill="1" applyBorder="1" applyAlignment="1">
      <alignment horizontal="center"/>
    </xf>
    <xf numFmtId="0" fontId="2" fillId="3" borderId="0" xfId="0" applyFont="1" applyFill="1" applyBorder="1" applyAlignment="1">
      <alignment horizontal="center"/>
    </xf>
    <xf numFmtId="9" fontId="0" fillId="3" borderId="0" xfId="1" applyFont="1" applyFill="1" applyAlignment="1">
      <alignment horizontal="center"/>
    </xf>
    <xf numFmtId="9" fontId="2" fillId="3" borderId="4" xfId="1" applyFont="1" applyFill="1" applyBorder="1" applyAlignment="1">
      <alignment horizontal="center"/>
    </xf>
    <xf numFmtId="3" fontId="0" fillId="3" borderId="5" xfId="0" applyNumberFormat="1" applyFill="1" applyBorder="1" applyAlignment="1">
      <alignment horizontal="center"/>
    </xf>
    <xf numFmtId="3" fontId="2" fillId="3" borderId="0" xfId="0" applyNumberFormat="1" applyFont="1" applyFill="1" applyBorder="1" applyAlignment="1">
      <alignment horizontal="center"/>
    </xf>
    <xf numFmtId="0" fontId="2" fillId="2" borderId="7" xfId="0" applyFont="1" applyFill="1" applyBorder="1"/>
    <xf numFmtId="0" fontId="8" fillId="0" borderId="0" xfId="5"/>
    <xf numFmtId="3" fontId="2" fillId="3" borderId="5" xfId="0" applyNumberFormat="1" applyFont="1" applyFill="1" applyBorder="1" applyAlignment="1">
      <alignment horizontal="center"/>
    </xf>
    <xf numFmtId="0" fontId="2" fillId="2" borderId="21" xfId="0" applyFont="1" applyFill="1" applyBorder="1" applyAlignment="1">
      <alignment horizontal="center"/>
    </xf>
    <xf numFmtId="0" fontId="2" fillId="2" borderId="22" xfId="0" applyFont="1" applyFill="1" applyBorder="1" applyAlignment="1">
      <alignment horizontal="center"/>
    </xf>
    <xf numFmtId="9" fontId="0" fillId="3" borderId="25" xfId="1" applyFont="1" applyFill="1" applyBorder="1" applyAlignment="1">
      <alignment horizontal="center"/>
    </xf>
    <xf numFmtId="9" fontId="2" fillId="3" borderId="16" xfId="1" applyFont="1" applyFill="1" applyBorder="1" applyAlignment="1">
      <alignment horizontal="center"/>
    </xf>
    <xf numFmtId="0" fontId="2" fillId="2" borderId="26" xfId="0" applyFont="1" applyFill="1" applyBorder="1" applyAlignment="1">
      <alignment horizontal="center"/>
    </xf>
    <xf numFmtId="0" fontId="2" fillId="2" borderId="27" xfId="0" applyFont="1" applyFill="1" applyBorder="1" applyAlignment="1">
      <alignment horizontal="center"/>
    </xf>
    <xf numFmtId="3" fontId="0" fillId="3" borderId="14" xfId="0" applyNumberFormat="1" applyFill="1" applyBorder="1" applyAlignment="1">
      <alignment horizontal="center"/>
    </xf>
    <xf numFmtId="3" fontId="2" fillId="3" borderId="12" xfId="0" applyNumberFormat="1" applyFont="1" applyFill="1" applyBorder="1" applyAlignment="1">
      <alignment horizontal="center"/>
    </xf>
    <xf numFmtId="3" fontId="2" fillId="3" borderId="14" xfId="0" applyNumberFormat="1" applyFont="1" applyFill="1" applyBorder="1" applyAlignment="1">
      <alignment horizontal="center"/>
    </xf>
    <xf numFmtId="3" fontId="2" fillId="3" borderId="25" xfId="0" applyNumberFormat="1" applyFont="1" applyFill="1" applyBorder="1" applyAlignment="1">
      <alignment horizontal="center"/>
    </xf>
    <xf numFmtId="3" fontId="0" fillId="3" borderId="15" xfId="0" applyNumberFormat="1" applyFill="1" applyBorder="1" applyAlignment="1">
      <alignment horizontal="center"/>
    </xf>
    <xf numFmtId="0" fontId="2" fillId="2" borderId="21" xfId="0" applyFont="1" applyFill="1" applyBorder="1"/>
    <xf numFmtId="0" fontId="2" fillId="3" borderId="14" xfId="0" applyFont="1" applyFill="1" applyBorder="1"/>
    <xf numFmtId="0" fontId="2" fillId="3" borderId="15" xfId="0" applyFont="1" applyFill="1" applyBorder="1"/>
    <xf numFmtId="3" fontId="0" fillId="3" borderId="23" xfId="0" applyNumberFormat="1" applyFill="1" applyBorder="1" applyAlignment="1">
      <alignment horizontal="center"/>
    </xf>
    <xf numFmtId="0" fontId="2" fillId="3" borderId="23" xfId="0" applyFont="1" applyFill="1" applyBorder="1"/>
    <xf numFmtId="9" fontId="0" fillId="3" borderId="24" xfId="1" applyFont="1" applyFill="1" applyBorder="1" applyAlignment="1">
      <alignment horizontal="center"/>
    </xf>
    <xf numFmtId="167" fontId="0" fillId="3" borderId="0" xfId="4" applyNumberFormat="1" applyFont="1" applyFill="1" applyAlignment="1">
      <alignment horizontal="center"/>
    </xf>
    <xf numFmtId="0" fontId="2" fillId="0" borderId="0" xfId="0" applyFont="1" applyAlignment="1">
      <alignment horizontal="center"/>
    </xf>
    <xf numFmtId="0" fontId="5" fillId="0" borderId="0" xfId="0" applyFont="1" applyFill="1" applyBorder="1"/>
    <xf numFmtId="0" fontId="0" fillId="0" borderId="0" xfId="0"/>
    <xf numFmtId="0" fontId="0" fillId="0" borderId="0" xfId="0"/>
    <xf numFmtId="0" fontId="2" fillId="3" borderId="14" xfId="0" applyFont="1" applyFill="1" applyBorder="1" applyAlignment="1">
      <alignment horizontal="left"/>
    </xf>
    <xf numFmtId="0" fontId="2" fillId="3" borderId="15" xfId="0" applyFont="1" applyFill="1" applyBorder="1" applyAlignment="1">
      <alignment horizontal="left"/>
    </xf>
    <xf numFmtId="0" fontId="0" fillId="3" borderId="25" xfId="0" applyFill="1" applyBorder="1" applyAlignment="1">
      <alignment horizontal="center"/>
    </xf>
    <xf numFmtId="9" fontId="1" fillId="3" borderId="25" xfId="1" applyFill="1" applyBorder="1" applyAlignment="1">
      <alignment horizontal="center"/>
    </xf>
    <xf numFmtId="9" fontId="2" fillId="3" borderId="25" xfId="1" applyFont="1" applyFill="1" applyBorder="1" applyAlignment="1">
      <alignment horizontal="center"/>
    </xf>
    <xf numFmtId="0" fontId="2" fillId="3" borderId="25" xfId="0" applyFont="1" applyFill="1" applyBorder="1" applyAlignment="1">
      <alignment horizontal="center"/>
    </xf>
    <xf numFmtId="3" fontId="0" fillId="3" borderId="17" xfId="0" applyNumberFormat="1" applyFill="1" applyBorder="1" applyAlignment="1">
      <alignment horizontal="center"/>
    </xf>
    <xf numFmtId="0" fontId="2" fillId="3" borderId="20" xfId="0" applyFont="1" applyFill="1" applyBorder="1" applyAlignment="1">
      <alignment horizontal="center"/>
    </xf>
    <xf numFmtId="3" fontId="1" fillId="3" borderId="14" xfId="11" applyNumberFormat="1" applyFill="1" applyBorder="1" applyAlignment="1">
      <alignment horizontal="center"/>
    </xf>
    <xf numFmtId="3" fontId="1" fillId="3" borderId="0" xfId="11" applyNumberFormat="1" applyFill="1" applyBorder="1" applyAlignment="1">
      <alignment horizontal="center"/>
    </xf>
    <xf numFmtId="9" fontId="0" fillId="3" borderId="20" xfId="1" applyFont="1" applyFill="1" applyBorder="1" applyAlignment="1">
      <alignment horizontal="center"/>
    </xf>
    <xf numFmtId="9" fontId="2" fillId="3" borderId="20" xfId="1" applyFont="1" applyFill="1" applyBorder="1" applyAlignment="1">
      <alignment horizontal="center"/>
    </xf>
    <xf numFmtId="0" fontId="7" fillId="14" borderId="0" xfId="0" applyFont="1" applyFill="1" applyAlignment="1">
      <alignment horizontal="center"/>
    </xf>
    <xf numFmtId="0" fontId="2" fillId="14" borderId="0" xfId="0" applyFont="1" applyFill="1" applyAlignment="1">
      <alignment horizontal="center"/>
    </xf>
    <xf numFmtId="0" fontId="2" fillId="14" borderId="0" xfId="0" applyFont="1" applyFill="1"/>
    <xf numFmtId="0" fontId="0" fillId="14" borderId="0" xfId="0" applyFill="1"/>
    <xf numFmtId="0" fontId="8" fillId="14" borderId="0" xfId="5" applyFill="1"/>
    <xf numFmtId="0" fontId="0" fillId="14" borderId="0" xfId="0" applyFill="1" applyAlignment="1">
      <alignment horizontal="center"/>
    </xf>
    <xf numFmtId="0" fontId="18" fillId="14" borderId="0" xfId="0" applyFont="1" applyFill="1" applyAlignment="1">
      <alignment horizontal="center"/>
    </xf>
    <xf numFmtId="0" fontId="8" fillId="14" borderId="0" xfId="5" applyFill="1" applyAlignment="1"/>
    <xf numFmtId="0" fontId="0" fillId="14" borderId="0" xfId="0" applyFont="1" applyFill="1" applyAlignment="1">
      <alignment horizontal="left"/>
    </xf>
    <xf numFmtId="0" fontId="5" fillId="0" borderId="0" xfId="0" applyFont="1" applyAlignment="1">
      <alignment vertical="top" wrapText="1"/>
    </xf>
    <xf numFmtId="168" fontId="0" fillId="0" borderId="0" xfId="0" applyNumberFormat="1"/>
    <xf numFmtId="0" fontId="2" fillId="2" borderId="17" xfId="0" applyFont="1" applyFill="1" applyBorder="1" applyAlignment="1">
      <alignment vertical="center"/>
    </xf>
    <xf numFmtId="0" fontId="2" fillId="2" borderId="21" xfId="0" applyFont="1" applyFill="1" applyBorder="1" applyAlignment="1">
      <alignment vertical="center"/>
    </xf>
    <xf numFmtId="0" fontId="2" fillId="2" borderId="9" xfId="0" applyFont="1" applyFill="1" applyBorder="1" applyAlignment="1">
      <alignment horizontal="center"/>
    </xf>
    <xf numFmtId="0" fontId="5" fillId="3" borderId="0" xfId="0" applyFont="1" applyFill="1" applyBorder="1"/>
    <xf numFmtId="2" fontId="2" fillId="3" borderId="0" xfId="0" applyNumberFormat="1" applyFont="1" applyFill="1" applyBorder="1" applyAlignment="1">
      <alignment horizontal="center"/>
    </xf>
    <xf numFmtId="10" fontId="0" fillId="0" borderId="0" xfId="1" applyNumberFormat="1" applyFont="1"/>
    <xf numFmtId="0" fontId="27" fillId="0" borderId="0" xfId="0" applyFont="1"/>
    <xf numFmtId="0" fontId="27" fillId="3" borderId="0" xfId="0" applyFont="1" applyFill="1" applyBorder="1"/>
    <xf numFmtId="165" fontId="0" fillId="0" borderId="0" xfId="1" applyNumberFormat="1" applyFont="1"/>
    <xf numFmtId="170" fontId="0" fillId="0" borderId="0" xfId="1" applyNumberFormat="1" applyFont="1"/>
    <xf numFmtId="1" fontId="0" fillId="0" borderId="0" xfId="0" applyNumberFormat="1"/>
    <xf numFmtId="0" fontId="2" fillId="46" borderId="3" xfId="0" applyFont="1" applyFill="1" applyBorder="1"/>
    <xf numFmtId="3" fontId="0" fillId="0" borderId="3" xfId="0" applyNumberFormat="1" applyFill="1" applyBorder="1" applyAlignment="1">
      <alignment horizontal="center"/>
    </xf>
    <xf numFmtId="0" fontId="2" fillId="0" borderId="4" xfId="0" applyFont="1" applyFill="1" applyBorder="1"/>
    <xf numFmtId="0" fontId="5" fillId="0" borderId="0" xfId="0" applyFont="1" applyFill="1"/>
    <xf numFmtId="3" fontId="2" fillId="0" borderId="4" xfId="0" applyNumberFormat="1" applyFont="1" applyFill="1" applyBorder="1" applyAlignment="1">
      <alignment horizontal="center"/>
    </xf>
    <xf numFmtId="0" fontId="0" fillId="0" borderId="7" xfId="0" applyBorder="1"/>
    <xf numFmtId="0" fontId="2" fillId="2" borderId="13" xfId="0" applyFont="1" applyFill="1" applyBorder="1" applyAlignment="1">
      <alignment horizontal="center"/>
    </xf>
    <xf numFmtId="0" fontId="0" fillId="2" borderId="16" xfId="0" applyFill="1" applyBorder="1"/>
    <xf numFmtId="0" fontId="2" fillId="0" borderId="0" xfId="0" applyFont="1" applyFill="1" applyBorder="1"/>
    <xf numFmtId="0" fontId="2" fillId="0" borderId="3" xfId="0" applyFont="1" applyFill="1" applyBorder="1"/>
    <xf numFmtId="9" fontId="0" fillId="0" borderId="5" xfId="1" applyFont="1" applyFill="1" applyBorder="1" applyAlignment="1">
      <alignment horizontal="center"/>
    </xf>
    <xf numFmtId="0" fontId="42" fillId="47" borderId="49" xfId="0" applyFont="1" applyFill="1" applyBorder="1" applyAlignment="1">
      <alignment horizontal="left" vertical="center"/>
    </xf>
    <xf numFmtId="0" fontId="42" fillId="47" borderId="50" xfId="0" applyFont="1" applyFill="1" applyBorder="1"/>
    <xf numFmtId="0" fontId="43" fillId="47" borderId="51" xfId="0" applyFont="1" applyFill="1" applyBorder="1" applyAlignment="1">
      <alignment vertical="center"/>
    </xf>
    <xf numFmtId="0" fontId="43" fillId="47" borderId="50" xfId="0" applyFont="1" applyFill="1" applyBorder="1" applyAlignment="1">
      <alignment vertical="center"/>
    </xf>
    <xf numFmtId="0" fontId="43" fillId="47" borderId="52" xfId="0" applyFont="1" applyFill="1" applyBorder="1" applyAlignment="1">
      <alignment vertical="center"/>
    </xf>
    <xf numFmtId="0" fontId="0" fillId="48" borderId="0" xfId="0" applyFill="1"/>
    <xf numFmtId="0" fontId="42" fillId="48" borderId="53" xfId="0" applyFont="1" applyFill="1" applyBorder="1" applyAlignment="1">
      <alignment horizontal="left" vertical="center"/>
    </xf>
    <xf numFmtId="0" fontId="42" fillId="48" borderId="5" xfId="0" applyFont="1" applyFill="1" applyBorder="1" applyAlignment="1">
      <alignment horizontal="left" vertical="center"/>
    </xf>
    <xf numFmtId="0" fontId="43" fillId="48" borderId="5" xfId="0" applyFont="1" applyFill="1" applyBorder="1" applyAlignment="1">
      <alignment horizontal="left" vertical="center"/>
    </xf>
    <xf numFmtId="0" fontId="44" fillId="48" borderId="5" xfId="0" applyFont="1" applyFill="1" applyBorder="1" applyAlignment="1">
      <alignment horizontal="left" vertical="center"/>
    </xf>
    <xf numFmtId="0" fontId="45" fillId="48" borderId="5" xfId="0" applyFont="1" applyFill="1" applyBorder="1" applyAlignment="1">
      <alignment horizontal="left" vertical="center"/>
    </xf>
    <xf numFmtId="0" fontId="42" fillId="48" borderId="54" xfId="0" applyFont="1" applyFill="1" applyBorder="1" applyAlignment="1">
      <alignment horizontal="left" vertical="center"/>
    </xf>
    <xf numFmtId="0" fontId="42" fillId="48" borderId="35" xfId="0" applyFont="1" applyFill="1" applyBorder="1" applyAlignment="1">
      <alignment horizontal="left" vertical="center"/>
    </xf>
    <xf numFmtId="0" fontId="42" fillId="48" borderId="17" xfId="0" applyFont="1" applyFill="1" applyBorder="1" applyAlignment="1">
      <alignment horizontal="left" vertical="center"/>
    </xf>
    <xf numFmtId="0" fontId="42" fillId="48" borderId="20" xfId="0" applyFont="1" applyFill="1" applyBorder="1" applyAlignment="1">
      <alignment horizontal="left" vertical="center"/>
    </xf>
    <xf numFmtId="0" fontId="42" fillId="48" borderId="55" xfId="0" applyFont="1" applyFill="1" applyBorder="1" applyAlignment="1">
      <alignment horizontal="left" vertical="center"/>
    </xf>
    <xf numFmtId="0" fontId="42" fillId="48" borderId="14" xfId="0" applyFont="1" applyFill="1" applyBorder="1" applyAlignment="1">
      <alignment horizontal="left" vertical="center"/>
    </xf>
    <xf numFmtId="0" fontId="42" fillId="48" borderId="0" xfId="0" applyFont="1" applyFill="1" applyBorder="1" applyAlignment="1">
      <alignment horizontal="left" vertical="center"/>
    </xf>
    <xf numFmtId="0" fontId="45" fillId="48" borderId="0" xfId="0" applyFont="1" applyFill="1" applyBorder="1" applyAlignment="1">
      <alignment horizontal="left" vertical="center"/>
    </xf>
    <xf numFmtId="0" fontId="42" fillId="48" borderId="25" xfId="0" applyFont="1" applyFill="1" applyBorder="1" applyAlignment="1">
      <alignment horizontal="left" vertical="center"/>
    </xf>
    <xf numFmtId="0" fontId="42" fillId="48" borderId="36" xfId="0" applyFont="1" applyFill="1" applyBorder="1" applyAlignment="1">
      <alignment horizontal="left" vertical="center"/>
    </xf>
    <xf numFmtId="0" fontId="42" fillId="48" borderId="25" xfId="0" applyFont="1" applyFill="1" applyBorder="1" applyAlignment="1">
      <alignment horizontal="left" vertical="center" wrapText="1"/>
    </xf>
    <xf numFmtId="0" fontId="46" fillId="48" borderId="0" xfId="0" applyFont="1" applyFill="1" applyBorder="1" applyAlignment="1">
      <alignment horizontal="left" vertical="center" wrapText="1"/>
    </xf>
    <xf numFmtId="0" fontId="45" fillId="48" borderId="0" xfId="0" applyFont="1" applyFill="1" applyBorder="1" applyAlignment="1">
      <alignment vertical="center"/>
    </xf>
    <xf numFmtId="0" fontId="42" fillId="48" borderId="0" xfId="0" applyFont="1" applyFill="1" applyBorder="1" applyAlignment="1">
      <alignment vertical="center"/>
    </xf>
    <xf numFmtId="0" fontId="47" fillId="48" borderId="0" xfId="0" applyFont="1" applyFill="1" applyBorder="1" applyAlignment="1">
      <alignment vertical="center"/>
    </xf>
    <xf numFmtId="0" fontId="45" fillId="48" borderId="25" xfId="0" applyFont="1" applyFill="1" applyBorder="1" applyAlignment="1">
      <alignment horizontal="center" vertical="center"/>
    </xf>
    <xf numFmtId="0" fontId="42" fillId="48" borderId="0" xfId="0" applyFont="1" applyFill="1" applyBorder="1"/>
    <xf numFmtId="0" fontId="42" fillId="48" borderId="25" xfId="0" applyFont="1" applyFill="1" applyBorder="1"/>
    <xf numFmtId="0" fontId="42" fillId="48" borderId="8" xfId="0" applyFont="1" applyFill="1" applyBorder="1" applyAlignment="1">
      <alignment vertical="center"/>
    </xf>
    <xf numFmtId="0" fontId="45" fillId="48" borderId="17" xfId="0" applyFont="1" applyFill="1" applyBorder="1" applyAlignment="1">
      <alignment vertical="center"/>
    </xf>
    <xf numFmtId="0" fontId="45" fillId="48" borderId="5" xfId="0" applyFont="1" applyFill="1" applyBorder="1" applyAlignment="1">
      <alignment vertical="center"/>
    </xf>
    <xf numFmtId="0" fontId="42" fillId="48" borderId="5" xfId="0" applyFont="1" applyFill="1" applyBorder="1"/>
    <xf numFmtId="0" fontId="48" fillId="48" borderId="17" xfId="0" applyFont="1" applyFill="1" applyBorder="1" applyAlignment="1">
      <alignment horizontal="right" vertical="center"/>
    </xf>
    <xf numFmtId="0" fontId="42" fillId="48" borderId="25" xfId="0" applyFont="1" applyFill="1" applyBorder="1" applyAlignment="1">
      <alignment horizontal="center" vertical="center"/>
    </xf>
    <xf numFmtId="0" fontId="42" fillId="48" borderId="7" xfId="0" applyFont="1" applyFill="1" applyBorder="1" applyAlignment="1">
      <alignment vertical="center"/>
    </xf>
    <xf numFmtId="0" fontId="45" fillId="48" borderId="12" xfId="0" applyFont="1" applyFill="1" applyBorder="1" applyAlignment="1">
      <alignment vertical="center"/>
    </xf>
    <xf numFmtId="0" fontId="45" fillId="48" borderId="4" xfId="0" applyFont="1" applyFill="1" applyBorder="1" applyAlignment="1">
      <alignment vertical="center"/>
    </xf>
    <xf numFmtId="0" fontId="42" fillId="48" borderId="4" xfId="0" applyFont="1" applyFill="1" applyBorder="1" applyAlignment="1">
      <alignment horizontal="left" vertical="center"/>
    </xf>
    <xf numFmtId="0" fontId="42" fillId="48" borderId="4" xfId="0" applyFont="1" applyFill="1" applyBorder="1"/>
    <xf numFmtId="0" fontId="42" fillId="48" borderId="13" xfId="0" applyFont="1" applyFill="1" applyBorder="1" applyAlignment="1">
      <alignment horizontal="left" vertical="center"/>
    </xf>
    <xf numFmtId="0" fontId="45" fillId="48" borderId="15" xfId="0" applyFont="1" applyFill="1" applyBorder="1" applyAlignment="1">
      <alignment horizontal="left" vertical="center"/>
    </xf>
    <xf numFmtId="0" fontId="45" fillId="48" borderId="3" xfId="0" applyFont="1" applyFill="1" applyBorder="1" applyAlignment="1">
      <alignment horizontal="left" vertical="center"/>
    </xf>
    <xf numFmtId="0" fontId="42" fillId="48" borderId="3" xfId="0" applyFont="1" applyFill="1" applyBorder="1" applyAlignment="1">
      <alignment horizontal="left" vertical="center"/>
    </xf>
    <xf numFmtId="0" fontId="42" fillId="48" borderId="3" xfId="0" applyFont="1" applyFill="1" applyBorder="1"/>
    <xf numFmtId="0" fontId="48" fillId="47" borderId="57" xfId="0" applyFont="1" applyFill="1" applyBorder="1" applyAlignment="1">
      <alignment horizontal="right" vertical="center"/>
    </xf>
    <xf numFmtId="0" fontId="45" fillId="48" borderId="0" xfId="0" applyFont="1" applyFill="1" applyBorder="1" applyAlignment="1"/>
    <xf numFmtId="0" fontId="49" fillId="48" borderId="0" xfId="0" applyFont="1" applyFill="1" applyBorder="1" applyAlignment="1">
      <alignment vertical="center"/>
    </xf>
    <xf numFmtId="0" fontId="42" fillId="48" borderId="25" xfId="0" applyFont="1" applyFill="1" applyBorder="1" applyAlignment="1">
      <alignment vertical="center"/>
    </xf>
    <xf numFmtId="0" fontId="42" fillId="48" borderId="12" xfId="0" applyFont="1" applyFill="1" applyBorder="1" applyAlignment="1">
      <alignment vertical="center"/>
    </xf>
    <xf numFmtId="0" fontId="42" fillId="48" borderId="4" xfId="0" applyFont="1" applyFill="1" applyBorder="1" applyAlignment="1">
      <alignment vertical="center"/>
    </xf>
    <xf numFmtId="0" fontId="45" fillId="48" borderId="4" xfId="0" applyFont="1" applyFill="1" applyBorder="1" applyAlignment="1">
      <alignment horizontal="left" vertical="center"/>
    </xf>
    <xf numFmtId="0" fontId="48" fillId="48" borderId="12" xfId="0" applyFont="1" applyFill="1" applyBorder="1" applyAlignment="1">
      <alignment horizontal="right" vertical="center"/>
    </xf>
    <xf numFmtId="0" fontId="49" fillId="48" borderId="25" xfId="0" applyFont="1" applyFill="1" applyBorder="1" applyAlignment="1">
      <alignment horizontal="center" vertical="top"/>
    </xf>
    <xf numFmtId="0" fontId="48" fillId="47" borderId="58" xfId="0" applyFont="1" applyFill="1" applyBorder="1" applyAlignment="1">
      <alignment horizontal="right" vertical="center"/>
    </xf>
    <xf numFmtId="0" fontId="42" fillId="48" borderId="0" xfId="0" applyFont="1" applyFill="1" applyBorder="1" applyAlignment="1"/>
    <xf numFmtId="0" fontId="48" fillId="48" borderId="14" xfId="0" applyFont="1" applyFill="1" applyBorder="1" applyAlignment="1">
      <alignment horizontal="right" vertical="center"/>
    </xf>
    <xf numFmtId="0" fontId="46" fillId="48" borderId="0" xfId="0" applyFont="1" applyFill="1" applyBorder="1" applyAlignment="1">
      <alignment vertical="center"/>
    </xf>
    <xf numFmtId="0" fontId="49" fillId="48" borderId="0" xfId="0" applyFont="1" applyFill="1" applyBorder="1" applyAlignment="1">
      <alignment horizontal="center" vertical="center"/>
    </xf>
    <xf numFmtId="0" fontId="42" fillId="48" borderId="0" xfId="0" applyFont="1" applyFill="1" applyBorder="1" applyAlignment="1">
      <alignment horizontal="center" vertical="center"/>
    </xf>
    <xf numFmtId="0" fontId="45" fillId="47" borderId="29" xfId="0" applyFont="1" applyFill="1" applyBorder="1" applyAlignment="1">
      <alignment horizontal="left" vertical="center"/>
    </xf>
    <xf numFmtId="0" fontId="45" fillId="47" borderId="30" xfId="0" applyFont="1" applyFill="1" applyBorder="1" applyAlignment="1">
      <alignment vertical="center"/>
    </xf>
    <xf numFmtId="0" fontId="46" fillId="47" borderId="30" xfId="0" applyFont="1" applyFill="1" applyBorder="1" applyAlignment="1">
      <alignment vertical="center"/>
    </xf>
    <xf numFmtId="0" fontId="47" fillId="47" borderId="30" xfId="0" applyFont="1" applyFill="1" applyBorder="1" applyAlignment="1">
      <alignment vertical="center"/>
    </xf>
    <xf numFmtId="0" fontId="42" fillId="47" borderId="30" xfId="0" applyFont="1" applyFill="1" applyBorder="1" applyAlignment="1">
      <alignment horizontal="left" vertical="center"/>
    </xf>
    <xf numFmtId="0" fontId="42" fillId="47" borderId="30" xfId="0" applyFont="1" applyFill="1" applyBorder="1"/>
    <xf numFmtId="0" fontId="47" fillId="48" borderId="0" xfId="0" applyFont="1" applyFill="1" applyBorder="1" applyAlignment="1">
      <alignment horizontal="left" vertical="center"/>
    </xf>
    <xf numFmtId="0" fontId="45" fillId="48" borderId="25" xfId="0" applyFont="1" applyFill="1" applyBorder="1" applyAlignment="1">
      <alignment horizontal="left" vertical="center"/>
    </xf>
    <xf numFmtId="0" fontId="47" fillId="48" borderId="0" xfId="0" applyFont="1" applyFill="1" applyBorder="1" applyAlignment="1">
      <alignment vertical="center" wrapText="1"/>
    </xf>
    <xf numFmtId="0" fontId="47" fillId="48" borderId="25" xfId="0" applyFont="1" applyFill="1" applyBorder="1" applyAlignment="1">
      <alignment horizontal="left" vertical="center" wrapText="1"/>
    </xf>
    <xf numFmtId="0" fontId="42" fillId="48" borderId="15" xfId="0" applyFont="1" applyFill="1" applyBorder="1" applyAlignment="1">
      <alignment horizontal="left" vertical="center"/>
    </xf>
    <xf numFmtId="0" fontId="47" fillId="48" borderId="3" xfId="0" applyFont="1" applyFill="1" applyBorder="1" applyAlignment="1">
      <alignment vertical="center" wrapText="1"/>
    </xf>
    <xf numFmtId="0" fontId="47" fillId="48" borderId="28" xfId="0" applyFont="1" applyFill="1" applyBorder="1" applyAlignment="1">
      <alignment horizontal="left" vertical="center" wrapText="1"/>
    </xf>
    <xf numFmtId="0" fontId="47" fillId="48" borderId="0" xfId="0" applyFont="1" applyFill="1" applyBorder="1" applyAlignment="1">
      <alignment horizontal="left" vertical="center" wrapText="1"/>
    </xf>
    <xf numFmtId="0" fontId="42" fillId="48" borderId="5" xfId="0" applyFont="1" applyFill="1" applyBorder="1" applyAlignment="1">
      <alignment vertical="center"/>
    </xf>
    <xf numFmtId="0" fontId="42" fillId="48" borderId="20" xfId="0" applyFont="1" applyFill="1" applyBorder="1" applyAlignment="1">
      <alignment vertical="center"/>
    </xf>
    <xf numFmtId="0" fontId="48" fillId="48" borderId="0" xfId="0" applyFont="1" applyFill="1" applyBorder="1" applyAlignment="1">
      <alignment horizontal="right" vertical="center"/>
    </xf>
    <xf numFmtId="0" fontId="42" fillId="48" borderId="25" xfId="0" applyFont="1" applyFill="1" applyBorder="1" applyAlignment="1"/>
    <xf numFmtId="0" fontId="48" fillId="48" borderId="0" xfId="0" applyFont="1" applyFill="1" applyBorder="1" applyAlignment="1">
      <alignment vertical="center"/>
    </xf>
    <xf numFmtId="0" fontId="42" fillId="48" borderId="0" xfId="0" applyFont="1" applyFill="1" applyBorder="1" applyAlignment="1">
      <alignment horizontal="left" vertical="center" wrapText="1"/>
    </xf>
    <xf numFmtId="0" fontId="45" fillId="48" borderId="12" xfId="0" applyFont="1" applyFill="1" applyBorder="1" applyAlignment="1"/>
    <xf numFmtId="0" fontId="42" fillId="48" borderId="4" xfId="0" applyFont="1" applyFill="1" applyBorder="1" applyAlignment="1"/>
    <xf numFmtId="9" fontId="45" fillId="48" borderId="25" xfId="0" applyNumberFormat="1" applyFont="1" applyFill="1" applyBorder="1" applyAlignment="1">
      <alignment horizontal="center" vertical="center"/>
    </xf>
    <xf numFmtId="0" fontId="44" fillId="48" borderId="0" xfId="0" applyFont="1" applyFill="1" applyBorder="1" applyAlignment="1">
      <alignment horizontal="center" vertical="center"/>
    </xf>
    <xf numFmtId="0" fontId="42" fillId="48" borderId="32" xfId="0" applyFont="1" applyFill="1" applyBorder="1" applyAlignment="1">
      <alignment horizontal="left" vertical="center"/>
    </xf>
    <xf numFmtId="0" fontId="42" fillId="48" borderId="33" xfId="0" applyFont="1" applyFill="1" applyBorder="1" applyAlignment="1">
      <alignment horizontal="left" vertical="center"/>
    </xf>
    <xf numFmtId="0" fontId="42" fillId="48" borderId="34" xfId="0" applyFont="1" applyFill="1" applyBorder="1" applyAlignment="1">
      <alignment horizontal="left" vertical="center"/>
    </xf>
    <xf numFmtId="0" fontId="42" fillId="48" borderId="59" xfId="0" applyFont="1" applyFill="1" applyBorder="1" applyAlignment="1">
      <alignment horizontal="left" vertical="center"/>
    </xf>
    <xf numFmtId="0" fontId="42" fillId="48" borderId="12" xfId="0" applyFont="1" applyFill="1" applyBorder="1" applyAlignment="1">
      <alignment horizontal="left" vertical="center"/>
    </xf>
    <xf numFmtId="0" fontId="42" fillId="48" borderId="16" xfId="0" applyFont="1" applyFill="1" applyBorder="1" applyAlignment="1">
      <alignment horizontal="left" vertical="center"/>
    </xf>
    <xf numFmtId="0" fontId="45" fillId="48" borderId="0" xfId="0" applyFont="1" applyFill="1" applyBorder="1" applyAlignment="1">
      <alignment horizontal="center" vertical="center"/>
    </xf>
    <xf numFmtId="0" fontId="42" fillId="48" borderId="17" xfId="0" applyFont="1" applyFill="1" applyBorder="1" applyAlignment="1">
      <alignment vertical="center"/>
    </xf>
    <xf numFmtId="0" fontId="48" fillId="48" borderId="15" xfId="0" applyFont="1" applyFill="1" applyBorder="1" applyAlignment="1">
      <alignment horizontal="right" vertical="center"/>
    </xf>
    <xf numFmtId="0" fontId="51" fillId="48" borderId="0" xfId="0" applyFont="1" applyFill="1" applyBorder="1" applyAlignment="1">
      <alignment horizontal="left" vertical="top"/>
    </xf>
    <xf numFmtId="167" fontId="45" fillId="48" borderId="0" xfId="4" applyNumberFormat="1" applyFont="1" applyFill="1" applyBorder="1" applyAlignment="1">
      <alignment horizontal="left" vertical="top"/>
    </xf>
    <xf numFmtId="167" fontId="45" fillId="48" borderId="0" xfId="4" applyNumberFormat="1" applyFont="1" applyFill="1" applyBorder="1" applyAlignment="1">
      <alignment vertical="center"/>
    </xf>
    <xf numFmtId="0" fontId="45" fillId="48" borderId="25" xfId="0" applyFont="1" applyFill="1" applyBorder="1" applyAlignment="1">
      <alignment vertical="center"/>
    </xf>
    <xf numFmtId="0" fontId="42" fillId="48" borderId="5" xfId="0" applyFont="1" applyFill="1" applyBorder="1" applyAlignment="1"/>
    <xf numFmtId="0" fontId="47" fillId="48" borderId="4" xfId="0" applyFont="1" applyFill="1" applyBorder="1" applyAlignment="1">
      <alignment vertical="center"/>
    </xf>
    <xf numFmtId="0" fontId="48" fillId="47" borderId="57" xfId="0" applyFont="1" applyFill="1" applyBorder="1" applyAlignment="1">
      <alignment vertical="center"/>
    </xf>
    <xf numFmtId="167" fontId="42" fillId="48" borderId="0" xfId="4" applyNumberFormat="1" applyFont="1" applyFill="1" applyBorder="1" applyAlignment="1">
      <alignment horizontal="center" vertical="top"/>
    </xf>
    <xf numFmtId="0" fontId="51" fillId="48" borderId="25" xfId="0" applyFont="1" applyFill="1" applyBorder="1" applyAlignment="1">
      <alignment horizontal="center" vertical="top"/>
    </xf>
    <xf numFmtId="0" fontId="47" fillId="48" borderId="25" xfId="0" applyFont="1" applyFill="1" applyBorder="1" applyAlignment="1">
      <alignment vertical="center" wrapText="1"/>
    </xf>
    <xf numFmtId="0" fontId="42" fillId="48" borderId="0" xfId="0" applyFont="1" applyFill="1" applyBorder="1" applyAlignment="1">
      <alignment horizontal="right" vertical="center" wrapText="1"/>
    </xf>
    <xf numFmtId="0" fontId="42" fillId="48" borderId="37" xfId="0" applyFont="1" applyFill="1" applyBorder="1"/>
    <xf numFmtId="0" fontId="42" fillId="48" borderId="58" xfId="0" applyFont="1" applyFill="1" applyBorder="1"/>
    <xf numFmtId="0" fontId="47" fillId="48" borderId="38" xfId="0" applyFont="1" applyFill="1" applyBorder="1" applyAlignment="1">
      <alignment vertical="center"/>
    </xf>
    <xf numFmtId="0" fontId="42" fillId="48" borderId="38" xfId="0" applyFont="1" applyFill="1" applyBorder="1"/>
    <xf numFmtId="0" fontId="42" fillId="48" borderId="60" xfId="0" applyFont="1" applyFill="1" applyBorder="1"/>
    <xf numFmtId="0" fontId="42" fillId="48" borderId="39" xfId="0" applyFont="1" applyFill="1" applyBorder="1"/>
    <xf numFmtId="0" fontId="42" fillId="48" borderId="35" xfId="0" applyFont="1" applyFill="1" applyBorder="1"/>
    <xf numFmtId="0" fontId="42" fillId="48" borderId="36" xfId="0" applyFont="1" applyFill="1" applyBorder="1"/>
    <xf numFmtId="0" fontId="42" fillId="48" borderId="14" xfId="0" applyFont="1" applyFill="1" applyBorder="1" applyAlignment="1">
      <alignment vertical="center"/>
    </xf>
    <xf numFmtId="0" fontId="42" fillId="48" borderId="15" xfId="0" applyFont="1" applyFill="1" applyBorder="1" applyAlignment="1">
      <alignment vertical="center"/>
    </xf>
    <xf numFmtId="0" fontId="42" fillId="48" borderId="3" xfId="0" applyFont="1" applyFill="1" applyBorder="1" applyAlignment="1">
      <alignment vertical="center"/>
    </xf>
    <xf numFmtId="0" fontId="42" fillId="48" borderId="28" xfId="0" applyFont="1" applyFill="1" applyBorder="1" applyAlignment="1">
      <alignment vertical="center"/>
    </xf>
    <xf numFmtId="0" fontId="0" fillId="48" borderId="20" xfId="0" applyFill="1" applyBorder="1"/>
    <xf numFmtId="0" fontId="0" fillId="48" borderId="36" xfId="0" applyFill="1" applyBorder="1"/>
    <xf numFmtId="0" fontId="0" fillId="48" borderId="25" xfId="0" applyFill="1" applyBorder="1"/>
    <xf numFmtId="0" fontId="42" fillId="48" borderId="17" xfId="0" applyFont="1" applyFill="1" applyBorder="1"/>
    <xf numFmtId="0" fontId="42" fillId="48" borderId="20" xfId="0" applyFont="1" applyFill="1" applyBorder="1"/>
    <xf numFmtId="0" fontId="42" fillId="48" borderId="14" xfId="0" applyFont="1" applyFill="1" applyBorder="1"/>
    <xf numFmtId="0" fontId="42" fillId="48" borderId="15" xfId="0" applyFont="1" applyFill="1" applyBorder="1"/>
    <xf numFmtId="0" fontId="42" fillId="48" borderId="61" xfId="0" applyFont="1" applyFill="1" applyBorder="1"/>
    <xf numFmtId="0" fontId="0" fillId="48" borderId="28" xfId="0" applyFill="1" applyBorder="1"/>
    <xf numFmtId="0" fontId="42" fillId="48" borderId="35" xfId="0" applyFont="1" applyFill="1" applyBorder="1" applyAlignment="1">
      <alignment vertical="center"/>
    </xf>
    <xf numFmtId="0" fontId="0" fillId="48" borderId="0" xfId="0" applyFill="1" applyBorder="1"/>
    <xf numFmtId="0" fontId="0" fillId="48" borderId="38" xfId="0" applyFill="1" applyBorder="1"/>
    <xf numFmtId="0" fontId="0" fillId="48" borderId="39" xfId="0" applyFill="1" applyBorder="1"/>
    <xf numFmtId="0" fontId="0" fillId="48" borderId="32" xfId="0" applyFill="1" applyBorder="1"/>
    <xf numFmtId="0" fontId="2" fillId="48" borderId="33" xfId="0" applyFont="1" applyFill="1" applyBorder="1"/>
    <xf numFmtId="0" fontId="0" fillId="48" borderId="35" xfId="0" applyFill="1" applyBorder="1"/>
    <xf numFmtId="0" fontId="23" fillId="47" borderId="7" xfId="2" applyFont="1" applyFill="1" applyBorder="1" applyAlignment="1" applyProtection="1">
      <alignment horizontal="left" vertical="top"/>
    </xf>
    <xf numFmtId="0" fontId="22" fillId="47" borderId="12" xfId="2" applyFont="1" applyFill="1" applyBorder="1" applyAlignment="1" applyProtection="1">
      <alignment horizontal="left" vertical="center"/>
    </xf>
    <xf numFmtId="0" fontId="22" fillId="47" borderId="4" xfId="2" applyFont="1" applyFill="1" applyBorder="1" applyAlignment="1" applyProtection="1">
      <alignment horizontal="left"/>
    </xf>
    <xf numFmtId="0" fontId="20" fillId="47" borderId="4" xfId="2" applyFont="1" applyFill="1" applyBorder="1" applyAlignment="1" applyProtection="1">
      <alignment horizontal="left"/>
    </xf>
    <xf numFmtId="0" fontId="20" fillId="47" borderId="4" xfId="2" quotePrefix="1" applyFont="1" applyFill="1" applyBorder="1" applyAlignment="1" applyProtection="1">
      <alignment horizontal="left"/>
    </xf>
    <xf numFmtId="0" fontId="20" fillId="47" borderId="16" xfId="2" applyFont="1" applyFill="1" applyBorder="1" applyAlignment="1" applyProtection="1">
      <alignment horizontal="left"/>
    </xf>
    <xf numFmtId="0" fontId="0" fillId="48" borderId="37" xfId="0" applyFill="1" applyBorder="1"/>
    <xf numFmtId="0" fontId="2" fillId="48" borderId="38" xfId="0" applyFont="1" applyFill="1" applyBorder="1"/>
    <xf numFmtId="4" fontId="2" fillId="48" borderId="38" xfId="0" applyNumberFormat="1" applyFont="1" applyFill="1" applyBorder="1"/>
    <xf numFmtId="0" fontId="2" fillId="48" borderId="0" xfId="0" applyFont="1" applyFill="1"/>
    <xf numFmtId="4" fontId="2" fillId="48" borderId="0" xfId="0" applyNumberFormat="1" applyFont="1" applyFill="1"/>
    <xf numFmtId="0" fontId="24" fillId="47" borderId="7" xfId="2" applyFont="1" applyFill="1" applyBorder="1" applyAlignment="1" applyProtection="1">
      <alignment horizontal="left" vertical="top"/>
    </xf>
    <xf numFmtId="0" fontId="22" fillId="48" borderId="38" xfId="2" applyFont="1" applyFill="1" applyBorder="1" applyAlignment="1" applyProtection="1">
      <alignment horizontal="left" vertical="center"/>
    </xf>
    <xf numFmtId="0" fontId="24" fillId="48" borderId="38" xfId="2" applyFont="1" applyFill="1" applyBorder="1" applyAlignment="1" applyProtection="1">
      <alignment horizontal="left" vertical="top"/>
    </xf>
    <xf numFmtId="4" fontId="25" fillId="48" borderId="38" xfId="2" applyNumberFormat="1" applyFont="1" applyFill="1" applyBorder="1" applyAlignment="1" applyProtection="1">
      <alignment horizontal="left" vertical="center"/>
    </xf>
    <xf numFmtId="4" fontId="19" fillId="48" borderId="38" xfId="2" applyNumberFormat="1" applyFont="1" applyFill="1" applyBorder="1" applyAlignment="1" applyProtection="1">
      <alignment horizontal="left" vertical="center"/>
    </xf>
    <xf numFmtId="0" fontId="54" fillId="48" borderId="32" xfId="0" applyFont="1" applyFill="1" applyBorder="1" applyAlignment="1">
      <alignment horizontal="left" vertical="center"/>
    </xf>
    <xf numFmtId="0" fontId="54" fillId="48" borderId="33" xfId="0" applyFont="1" applyFill="1" applyBorder="1" applyAlignment="1">
      <alignment horizontal="left" vertical="center"/>
    </xf>
    <xf numFmtId="0" fontId="54" fillId="48" borderId="34" xfId="0" applyFont="1" applyFill="1" applyBorder="1" applyAlignment="1">
      <alignment horizontal="left" vertical="center"/>
    </xf>
    <xf numFmtId="0" fontId="54" fillId="47" borderId="62" xfId="0" applyFont="1" applyFill="1" applyBorder="1" applyAlignment="1">
      <alignment horizontal="left" vertical="center"/>
    </xf>
    <xf numFmtId="0" fontId="54" fillId="47" borderId="4" xfId="0" applyFont="1" applyFill="1" applyBorder="1" applyAlignment="1">
      <alignment horizontal="left" vertical="center"/>
    </xf>
    <xf numFmtId="0" fontId="55" fillId="47" borderId="4" xfId="0" applyFont="1" applyFill="1" applyBorder="1" applyAlignment="1">
      <alignment horizontal="left" vertical="center"/>
    </xf>
    <xf numFmtId="0" fontId="54" fillId="47" borderId="63" xfId="0" applyFont="1" applyFill="1" applyBorder="1" applyAlignment="1">
      <alignment horizontal="left" vertical="center"/>
    </xf>
    <xf numFmtId="0" fontId="54" fillId="48" borderId="35" xfId="0" applyFont="1" applyFill="1" applyBorder="1" applyAlignment="1">
      <alignment horizontal="left" vertical="center"/>
    </xf>
    <xf numFmtId="0" fontId="54" fillId="48" borderId="0" xfId="0" applyFont="1" applyFill="1" applyBorder="1" applyAlignment="1">
      <alignment horizontal="left" vertical="center"/>
    </xf>
    <xf numFmtId="0" fontId="55" fillId="48" borderId="0" xfId="0" applyFont="1" applyFill="1" applyBorder="1" applyAlignment="1">
      <alignment horizontal="left" vertical="center"/>
    </xf>
    <xf numFmtId="0" fontId="54" fillId="48" borderId="36" xfId="0" applyFont="1" applyFill="1" applyBorder="1" applyAlignment="1">
      <alignment horizontal="left" vertical="center"/>
    </xf>
    <xf numFmtId="0" fontId="55" fillId="48" borderId="0" xfId="0" applyFont="1" applyFill="1" applyBorder="1" applyAlignment="1">
      <alignment vertical="center"/>
    </xf>
    <xf numFmtId="0" fontId="54" fillId="48" borderId="0" xfId="0" applyFont="1" applyFill="1" applyBorder="1" applyAlignment="1">
      <alignment vertical="center"/>
    </xf>
    <xf numFmtId="0" fontId="55" fillId="48" borderId="0" xfId="0" applyFont="1" applyFill="1" applyBorder="1" applyAlignment="1">
      <alignment horizontal="center" vertical="center"/>
    </xf>
    <xf numFmtId="0" fontId="56" fillId="48" borderId="0" xfId="0" applyFont="1" applyFill="1" applyBorder="1" applyAlignment="1">
      <alignment horizontal="center" vertical="center"/>
    </xf>
    <xf numFmtId="0" fontId="56" fillId="48" borderId="0" xfId="0" applyFont="1" applyFill="1" applyBorder="1" applyAlignment="1">
      <alignment vertical="center"/>
    </xf>
    <xf numFmtId="0" fontId="55" fillId="48" borderId="0" xfId="0" applyFont="1" applyFill="1" applyBorder="1" applyAlignment="1">
      <alignment vertical="center" wrapText="1"/>
    </xf>
    <xf numFmtId="0" fontId="55" fillId="48" borderId="0" xfId="0" applyFont="1" applyFill="1" applyBorder="1"/>
    <xf numFmtId="0" fontId="0" fillId="48" borderId="0" xfId="0" applyFont="1" applyFill="1" applyBorder="1"/>
    <xf numFmtId="0" fontId="54" fillId="48" borderId="0" xfId="0" applyFont="1" applyFill="1" applyBorder="1" applyAlignment="1">
      <alignment vertical="center" wrapText="1"/>
    </xf>
    <xf numFmtId="0" fontId="57" fillId="48" borderId="0" xfId="0" applyFont="1" applyFill="1" applyBorder="1" applyAlignment="1">
      <alignment horizontal="left" vertical="center"/>
    </xf>
    <xf numFmtId="0" fontId="54" fillId="48" borderId="0" xfId="0" applyFont="1" applyFill="1" applyBorder="1"/>
    <xf numFmtId="0" fontId="54" fillId="48" borderId="7" xfId="0" applyFont="1" applyFill="1" applyBorder="1" applyAlignment="1">
      <alignment horizontal="center" vertical="center"/>
    </xf>
    <xf numFmtId="0" fontId="58" fillId="48" borderId="0" xfId="0" applyFont="1" applyFill="1" applyBorder="1" applyAlignment="1">
      <alignment horizontal="left" vertical="center"/>
    </xf>
    <xf numFmtId="0" fontId="57" fillId="48" borderId="0" xfId="0" applyFont="1" applyFill="1" applyBorder="1" applyAlignment="1">
      <alignment vertical="center" wrapText="1"/>
    </xf>
    <xf numFmtId="0" fontId="54" fillId="48" borderId="0" xfId="0" applyFont="1" applyFill="1" applyBorder="1" applyAlignment="1">
      <alignment horizontal="center" vertical="center" wrapText="1"/>
    </xf>
    <xf numFmtId="0" fontId="58" fillId="48" borderId="0" xfId="0" applyFont="1" applyFill="1" applyBorder="1" applyAlignment="1">
      <alignment vertical="center" wrapText="1"/>
    </xf>
    <xf numFmtId="0" fontId="57" fillId="48" borderId="0" xfId="0" applyFont="1" applyFill="1" applyBorder="1" applyAlignment="1">
      <alignment vertical="center"/>
    </xf>
    <xf numFmtId="0" fontId="58" fillId="48" borderId="0" xfId="0" applyFont="1" applyFill="1" applyBorder="1" applyAlignment="1">
      <alignment vertical="center"/>
    </xf>
    <xf numFmtId="0" fontId="59" fillId="48" borderId="0" xfId="0" applyFont="1" applyFill="1" applyBorder="1" applyAlignment="1">
      <alignment vertical="top"/>
    </xf>
    <xf numFmtId="0" fontId="54" fillId="48" borderId="0" xfId="0" applyFont="1" applyFill="1" applyBorder="1" applyAlignment="1">
      <alignment horizontal="center" vertical="center"/>
    </xf>
    <xf numFmtId="0" fontId="54" fillId="48" borderId="0" xfId="0" applyFont="1" applyFill="1" applyBorder="1" applyAlignment="1"/>
    <xf numFmtId="0" fontId="54" fillId="48" borderId="0" xfId="0" applyFont="1" applyFill="1" applyBorder="1" applyAlignment="1">
      <alignment vertical="top"/>
    </xf>
    <xf numFmtId="0" fontId="54" fillId="48" borderId="17" xfId="0" applyFont="1" applyFill="1" applyBorder="1"/>
    <xf numFmtId="0" fontId="54" fillId="48" borderId="5" xfId="0" applyFont="1" applyFill="1" applyBorder="1"/>
    <xf numFmtId="0" fontId="54" fillId="48" borderId="5" xfId="0" applyFont="1" applyFill="1" applyBorder="1" applyAlignment="1">
      <alignment vertical="center" wrapText="1"/>
    </xf>
    <xf numFmtId="0" fontId="54" fillId="48" borderId="5" xfId="0" applyFont="1" applyFill="1" applyBorder="1" applyAlignment="1">
      <alignment horizontal="left" vertical="center"/>
    </xf>
    <xf numFmtId="0" fontId="54" fillId="48" borderId="5" xfId="0" applyFont="1" applyFill="1" applyBorder="1" applyAlignment="1">
      <alignment vertical="center"/>
    </xf>
    <xf numFmtId="0" fontId="54" fillId="48" borderId="20" xfId="0" applyFont="1" applyFill="1" applyBorder="1" applyAlignment="1">
      <alignment horizontal="left" vertical="center"/>
    </xf>
    <xf numFmtId="0" fontId="54" fillId="48" borderId="14" xfId="0" applyFont="1" applyFill="1" applyBorder="1" applyAlignment="1">
      <alignment vertical="center" wrapText="1"/>
    </xf>
    <xf numFmtId="0" fontId="60" fillId="48" borderId="0" xfId="0" applyFont="1" applyFill="1" applyBorder="1" applyAlignment="1">
      <alignment horizontal="right" vertical="center"/>
    </xf>
    <xf numFmtId="0" fontId="55" fillId="48" borderId="0" xfId="0" applyFont="1" applyFill="1" applyBorder="1" applyAlignment="1">
      <alignment horizontal="center" vertical="center" wrapText="1"/>
    </xf>
    <xf numFmtId="0" fontId="54" fillId="48" borderId="7" xfId="0" applyFont="1" applyFill="1" applyBorder="1" applyAlignment="1">
      <alignment horizontal="center" vertical="center" wrapText="1"/>
    </xf>
    <xf numFmtId="0" fontId="60" fillId="48" borderId="0" xfId="0" applyFont="1" applyFill="1" applyBorder="1" applyAlignment="1">
      <alignment horizontal="center" vertical="center"/>
    </xf>
    <xf numFmtId="0" fontId="55" fillId="48" borderId="7" xfId="0" applyFont="1" applyFill="1" applyBorder="1" applyAlignment="1">
      <alignment horizontal="center" vertical="center" wrapText="1"/>
    </xf>
    <xf numFmtId="0" fontId="54" fillId="48" borderId="25" xfId="0" applyFont="1" applyFill="1" applyBorder="1" applyAlignment="1">
      <alignment horizontal="left" vertical="center"/>
    </xf>
    <xf numFmtId="0" fontId="54" fillId="48" borderId="15" xfId="0" applyFont="1" applyFill="1" applyBorder="1" applyAlignment="1">
      <alignment vertical="center" wrapText="1"/>
    </xf>
    <xf numFmtId="0" fontId="54" fillId="48" borderId="3" xfId="0" applyFont="1" applyFill="1" applyBorder="1" applyAlignment="1">
      <alignment vertical="center" wrapText="1"/>
    </xf>
    <xf numFmtId="0" fontId="55" fillId="48" borderId="3" xfId="0" applyFont="1" applyFill="1" applyBorder="1" applyAlignment="1">
      <alignment vertical="center"/>
    </xf>
    <xf numFmtId="0" fontId="55" fillId="48" borderId="28" xfId="0" applyFont="1" applyFill="1" applyBorder="1" applyAlignment="1">
      <alignment vertical="center"/>
    </xf>
    <xf numFmtId="0" fontId="54" fillId="48" borderId="37" xfId="0" applyFont="1" applyFill="1" applyBorder="1" applyAlignment="1">
      <alignment horizontal="left" vertical="center"/>
    </xf>
    <xf numFmtId="0" fontId="54" fillId="48" borderId="38" xfId="0" applyFont="1" applyFill="1" applyBorder="1" applyAlignment="1">
      <alignment vertical="center"/>
    </xf>
    <xf numFmtId="0" fontId="54" fillId="48" borderId="38" xfId="0" applyFont="1" applyFill="1" applyBorder="1" applyAlignment="1">
      <alignment horizontal="left" vertical="center"/>
    </xf>
    <xf numFmtId="0" fontId="54" fillId="48" borderId="39" xfId="0" applyFont="1" applyFill="1" applyBorder="1" applyAlignment="1">
      <alignment horizontal="left" vertical="center"/>
    </xf>
    <xf numFmtId="0" fontId="2" fillId="48" borderId="34" xfId="0" applyFont="1" applyFill="1" applyBorder="1"/>
    <xf numFmtId="0" fontId="2" fillId="48" borderId="36" xfId="0" applyFont="1" applyFill="1" applyBorder="1"/>
    <xf numFmtId="0" fontId="2" fillId="48" borderId="39" xfId="0" applyFont="1" applyFill="1" applyBorder="1"/>
    <xf numFmtId="0" fontId="61" fillId="0" borderId="0" xfId="669"/>
    <xf numFmtId="0" fontId="17" fillId="0" borderId="17" xfId="669" applyFont="1" applyFill="1" applyBorder="1" applyAlignment="1">
      <alignment vertical="center"/>
    </xf>
    <xf numFmtId="0" fontId="15" fillId="3" borderId="17" xfId="669" applyFont="1" applyFill="1" applyBorder="1" applyAlignment="1">
      <alignment horizontal="center"/>
    </xf>
    <xf numFmtId="0" fontId="3" fillId="0" borderId="8" xfId="669" applyFont="1" applyBorder="1"/>
    <xf numFmtId="0" fontId="17" fillId="10" borderId="14" xfId="669" applyFont="1" applyFill="1" applyBorder="1" applyAlignment="1">
      <alignment vertical="center"/>
    </xf>
    <xf numFmtId="0" fontId="17" fillId="11" borderId="18" xfId="669" applyFont="1" applyFill="1" applyBorder="1" applyAlignment="1">
      <alignment horizontal="center"/>
    </xf>
    <xf numFmtId="0" fontId="17" fillId="12" borderId="19" xfId="669" applyFont="1" applyFill="1" applyBorder="1" applyAlignment="1">
      <alignment horizontal="center"/>
    </xf>
    <xf numFmtId="0" fontId="17" fillId="13" borderId="19" xfId="669" applyFont="1" applyFill="1" applyBorder="1" applyAlignment="1">
      <alignment horizontal="center"/>
    </xf>
    <xf numFmtId="0" fontId="17" fillId="4" borderId="19" xfId="669" applyFont="1" applyFill="1" applyBorder="1" applyAlignment="1">
      <alignment horizontal="center"/>
    </xf>
    <xf numFmtId="0" fontId="16" fillId="3" borderId="14" xfId="669" applyFont="1" applyFill="1" applyBorder="1" applyAlignment="1">
      <alignment horizontal="center"/>
    </xf>
    <xf numFmtId="0" fontId="16" fillId="3" borderId="10" xfId="669" applyFont="1" applyFill="1" applyBorder="1" applyAlignment="1">
      <alignment horizontal="center"/>
    </xf>
    <xf numFmtId="0" fontId="15" fillId="5" borderId="14" xfId="669" applyFont="1" applyFill="1" applyBorder="1" applyAlignment="1">
      <alignment horizontal="center"/>
    </xf>
    <xf numFmtId="3" fontId="15" fillId="6" borderId="14" xfId="669" applyNumberFormat="1" applyFont="1" applyFill="1" applyBorder="1" applyAlignment="1">
      <alignment horizontal="center"/>
    </xf>
    <xf numFmtId="3" fontId="15" fillId="7" borderId="0" xfId="669" applyNumberFormat="1" applyFont="1" applyFill="1" applyBorder="1" applyAlignment="1">
      <alignment horizontal="center"/>
    </xf>
    <xf numFmtId="3" fontId="15" fillId="8" borderId="0" xfId="669" applyNumberFormat="1" applyFont="1" applyFill="1" applyBorder="1" applyAlignment="1">
      <alignment horizontal="center"/>
    </xf>
    <xf numFmtId="3" fontId="15" fillId="9" borderId="0" xfId="669" applyNumberFormat="1" applyFont="1" applyFill="1" applyBorder="1" applyAlignment="1">
      <alignment horizontal="center"/>
    </xf>
    <xf numFmtId="3" fontId="15" fillId="3" borderId="14" xfId="669" applyNumberFormat="1" applyFont="1" applyFill="1" applyBorder="1" applyAlignment="1">
      <alignment horizontal="center"/>
    </xf>
    <xf numFmtId="165" fontId="16" fillId="3" borderId="10" xfId="626" applyNumberFormat="1" applyFont="1" applyFill="1" applyBorder="1" applyAlignment="1">
      <alignment horizontal="center"/>
    </xf>
    <xf numFmtId="0" fontId="16" fillId="5" borderId="15" xfId="669" applyFont="1" applyFill="1" applyBorder="1" applyAlignment="1">
      <alignment horizontal="center"/>
    </xf>
    <xf numFmtId="3" fontId="15" fillId="6" borderId="15" xfId="669" applyNumberFormat="1" applyFont="1" applyFill="1" applyBorder="1" applyAlignment="1">
      <alignment horizontal="center"/>
    </xf>
    <xf numFmtId="3" fontId="15" fillId="7" borderId="3" xfId="669" applyNumberFormat="1" applyFont="1" applyFill="1" applyBorder="1" applyAlignment="1">
      <alignment horizontal="center"/>
    </xf>
    <xf numFmtId="3" fontId="15" fillId="8" borderId="3" xfId="669" applyNumberFormat="1" applyFont="1" applyFill="1" applyBorder="1" applyAlignment="1">
      <alignment horizontal="center"/>
    </xf>
    <xf numFmtId="3" fontId="15" fillId="9" borderId="3" xfId="669" applyNumberFormat="1" applyFont="1" applyFill="1" applyBorder="1" applyAlignment="1">
      <alignment horizontal="center"/>
    </xf>
    <xf numFmtId="3" fontId="15" fillId="3" borderId="15" xfId="669" applyNumberFormat="1" applyFont="1" applyFill="1" applyBorder="1" applyAlignment="1">
      <alignment horizontal="center"/>
    </xf>
    <xf numFmtId="165" fontId="16" fillId="3" borderId="13" xfId="626" applyNumberFormat="1" applyFont="1" applyFill="1" applyBorder="1" applyAlignment="1">
      <alignment horizontal="center"/>
    </xf>
    <xf numFmtId="0" fontId="16" fillId="3" borderId="12" xfId="669" applyFont="1" applyFill="1" applyBorder="1" applyAlignment="1">
      <alignment horizontal="center"/>
    </xf>
    <xf numFmtId="165" fontId="16" fillId="7" borderId="4" xfId="626" applyNumberFormat="1" applyFont="1" applyFill="1" applyBorder="1" applyAlignment="1">
      <alignment horizontal="center"/>
    </xf>
    <xf numFmtId="165" fontId="16" fillId="8" borderId="4" xfId="626" applyNumberFormat="1" applyFont="1" applyFill="1" applyBorder="1" applyAlignment="1">
      <alignment horizontal="center"/>
    </xf>
    <xf numFmtId="165" fontId="16" fillId="9" borderId="4" xfId="626" applyNumberFormat="1" applyFont="1" applyFill="1" applyBorder="1" applyAlignment="1">
      <alignment horizontal="center"/>
    </xf>
    <xf numFmtId="165" fontId="16" fillId="3" borderId="4" xfId="626" applyNumberFormat="1" applyFont="1" applyFill="1" applyBorder="1" applyAlignment="1">
      <alignment horizontal="center"/>
    </xf>
    <xf numFmtId="0" fontId="15" fillId="0" borderId="0" xfId="329" applyFont="1" applyFill="1" applyBorder="1" applyAlignment="1">
      <alignment horizontal="left"/>
    </xf>
    <xf numFmtId="3" fontId="0" fillId="0" borderId="0" xfId="0" applyNumberFormat="1" applyFill="1"/>
    <xf numFmtId="3" fontId="2" fillId="0" borderId="3" xfId="0" applyNumberFormat="1" applyFont="1" applyFill="1" applyBorder="1" applyAlignment="1">
      <alignment horizontal="center"/>
    </xf>
    <xf numFmtId="3" fontId="0" fillId="0" borderId="0" xfId="0" applyNumberFormat="1" applyFill="1" applyAlignment="1">
      <alignment horizontal="center"/>
    </xf>
    <xf numFmtId="3" fontId="2" fillId="0" borderId="0" xfId="0" applyNumberFormat="1" applyFont="1" applyFill="1" applyAlignment="1">
      <alignment horizontal="center"/>
    </xf>
    <xf numFmtId="3" fontId="0" fillId="0" borderId="0" xfId="0" applyNumberFormat="1" applyFill="1" applyBorder="1"/>
    <xf numFmtId="164" fontId="0" fillId="0" borderId="0" xfId="4" applyNumberFormat="1" applyFont="1" applyFill="1"/>
    <xf numFmtId="0" fontId="2" fillId="2" borderId="6"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1" xfId="0" applyFont="1" applyFill="1" applyBorder="1" applyAlignment="1">
      <alignment horizontal="center" vertical="center"/>
    </xf>
    <xf numFmtId="9" fontId="0" fillId="46" borderId="0" xfId="1" applyFont="1" applyFill="1" applyBorder="1" applyAlignment="1">
      <alignment horizontal="center"/>
    </xf>
    <xf numFmtId="9" fontId="2" fillId="46" borderId="3" xfId="1" applyFont="1" applyFill="1" applyBorder="1" applyAlignment="1">
      <alignment horizontal="center"/>
    </xf>
    <xf numFmtId="3" fontId="18" fillId="0" borderId="0" xfId="0" applyNumberFormat="1" applyFont="1" applyAlignment="1">
      <alignment vertical="center" wrapText="1"/>
    </xf>
    <xf numFmtId="9" fontId="0" fillId="0" borderId="0" xfId="1" applyFont="1" applyFill="1"/>
    <xf numFmtId="3" fontId="2" fillId="3" borderId="24" xfId="0" applyNumberFormat="1" applyFont="1" applyFill="1" applyBorder="1" applyAlignment="1">
      <alignment horizontal="center"/>
    </xf>
    <xf numFmtId="3" fontId="2" fillId="3" borderId="28" xfId="0" applyNumberFormat="1" applyFont="1" applyFill="1" applyBorder="1" applyAlignment="1">
      <alignment horizontal="center"/>
    </xf>
    <xf numFmtId="3" fontId="2" fillId="3" borderId="16" xfId="0" applyNumberFormat="1" applyFont="1" applyFill="1" applyBorder="1" applyAlignment="1">
      <alignment horizontal="center"/>
    </xf>
    <xf numFmtId="0" fontId="2" fillId="3" borderId="15" xfId="0" applyFont="1" applyFill="1" applyBorder="1" applyAlignment="1">
      <alignment horizontal="center"/>
    </xf>
    <xf numFmtId="3" fontId="2" fillId="3" borderId="2" xfId="0" applyNumberFormat="1" applyFont="1" applyFill="1" applyBorder="1" applyAlignment="1">
      <alignment horizontal="center"/>
    </xf>
    <xf numFmtId="0" fontId="2" fillId="3" borderId="12" xfId="0" applyFont="1" applyFill="1" applyBorder="1" applyAlignment="1">
      <alignment horizontal="center"/>
    </xf>
    <xf numFmtId="0" fontId="2" fillId="3" borderId="4" xfId="0" applyFont="1" applyFill="1" applyBorder="1" applyAlignment="1">
      <alignment horizontal="center"/>
    </xf>
    <xf numFmtId="0" fontId="10" fillId="3" borderId="0" xfId="0" applyFont="1" applyFill="1" applyBorder="1"/>
    <xf numFmtId="165" fontId="0" fillId="3" borderId="0" xfId="1" applyNumberFormat="1" applyFont="1" applyFill="1" applyBorder="1" applyAlignment="1">
      <alignment horizontal="center"/>
    </xf>
    <xf numFmtId="0" fontId="10" fillId="3" borderId="3" xfId="0" applyFont="1" applyFill="1" applyBorder="1"/>
    <xf numFmtId="0" fontId="0" fillId="3" borderId="3" xfId="0" applyFill="1" applyBorder="1" applyAlignment="1">
      <alignment horizontal="center"/>
    </xf>
    <xf numFmtId="165" fontId="0" fillId="3" borderId="3" xfId="1" applyNumberFormat="1" applyFont="1" applyFill="1" applyBorder="1" applyAlignment="1">
      <alignment horizontal="center"/>
    </xf>
    <xf numFmtId="0" fontId="10" fillId="3" borderId="5" xfId="0" applyFont="1" applyFill="1" applyBorder="1"/>
    <xf numFmtId="10" fontId="2" fillId="3" borderId="0" xfId="1" applyNumberFormat="1" applyFont="1" applyFill="1" applyBorder="1" applyAlignment="1">
      <alignment horizontal="center"/>
    </xf>
    <xf numFmtId="3" fontId="0" fillId="3" borderId="5" xfId="0" applyNumberFormat="1" applyFont="1" applyFill="1" applyBorder="1" applyAlignment="1">
      <alignment horizontal="center"/>
    </xf>
    <xf numFmtId="165" fontId="2" fillId="3" borderId="3" xfId="1" applyNumberFormat="1" applyFont="1" applyFill="1" applyBorder="1" applyAlignment="1">
      <alignment horizontal="center"/>
    </xf>
    <xf numFmtId="165" fontId="0" fillId="3" borderId="14" xfId="1" applyNumberFormat="1" applyFont="1" applyFill="1" applyBorder="1" applyAlignment="1">
      <alignment horizontal="center"/>
    </xf>
    <xf numFmtId="3" fontId="0" fillId="3" borderId="8" xfId="0" applyNumberFormat="1" applyFill="1" applyBorder="1" applyAlignment="1">
      <alignment horizontal="center"/>
    </xf>
    <xf numFmtId="10" fontId="0" fillId="3" borderId="25" xfId="0" applyNumberFormat="1" applyFill="1" applyBorder="1" applyAlignment="1">
      <alignment horizontal="center"/>
    </xf>
    <xf numFmtId="3" fontId="0" fillId="3" borderId="10" xfId="0" applyNumberFormat="1" applyFill="1" applyBorder="1" applyAlignment="1">
      <alignment horizontal="center"/>
    </xf>
    <xf numFmtId="3" fontId="0" fillId="3" borderId="13" xfId="0" applyNumberFormat="1" applyFill="1" applyBorder="1" applyAlignment="1">
      <alignment horizontal="center"/>
    </xf>
    <xf numFmtId="165" fontId="0" fillId="3" borderId="7" xfId="1" applyNumberFormat="1" applyFont="1" applyFill="1" applyBorder="1" applyAlignment="1">
      <alignment horizontal="center"/>
    </xf>
    <xf numFmtId="9" fontId="2" fillId="3" borderId="12" xfId="1" applyNumberFormat="1" applyFont="1" applyFill="1" applyBorder="1" applyAlignment="1">
      <alignment horizontal="center"/>
    </xf>
    <xf numFmtId="3" fontId="2" fillId="3" borderId="7" xfId="0" applyNumberFormat="1" applyFont="1" applyFill="1" applyBorder="1" applyAlignment="1">
      <alignment horizontal="center"/>
    </xf>
    <xf numFmtId="9" fontId="2" fillId="3" borderId="16" xfId="0" applyNumberFormat="1" applyFont="1" applyFill="1" applyBorder="1" applyAlignment="1">
      <alignment horizontal="center"/>
    </xf>
    <xf numFmtId="10" fontId="0" fillId="3" borderId="7" xfId="0" applyNumberFormat="1" applyFill="1" applyBorder="1" applyAlignment="1">
      <alignment horizontal="center"/>
    </xf>
    <xf numFmtId="165" fontId="0" fillId="3" borderId="25" xfId="0" applyNumberFormat="1" applyFill="1" applyBorder="1" applyAlignment="1">
      <alignment horizontal="center"/>
    </xf>
    <xf numFmtId="9" fontId="0" fillId="3" borderId="0" xfId="1" applyFont="1" applyFill="1" applyBorder="1" applyAlignment="1">
      <alignment horizontal="center"/>
    </xf>
    <xf numFmtId="0" fontId="0" fillId="3" borderId="15" xfId="0" applyFill="1" applyBorder="1" applyAlignment="1">
      <alignment horizontal="center"/>
    </xf>
    <xf numFmtId="3" fontId="19" fillId="3" borderId="2" xfId="0" applyNumberFormat="1" applyFont="1" applyFill="1" applyBorder="1" applyAlignment="1">
      <alignment horizontal="center"/>
    </xf>
    <xf numFmtId="3" fontId="19" fillId="3" borderId="0" xfId="0" applyNumberFormat="1" applyFont="1" applyFill="1" applyBorder="1" applyAlignment="1">
      <alignment horizontal="center"/>
    </xf>
    <xf numFmtId="10" fontId="19" fillId="3" borderId="0" xfId="1" applyNumberFormat="1" applyFont="1" applyFill="1" applyBorder="1" applyAlignment="1">
      <alignment horizontal="center"/>
    </xf>
    <xf numFmtId="10" fontId="19" fillId="3" borderId="3" xfId="1" applyNumberFormat="1" applyFont="1" applyFill="1" applyBorder="1" applyAlignment="1">
      <alignment horizontal="center"/>
    </xf>
    <xf numFmtId="0" fontId="0" fillId="3" borderId="14" xfId="0" applyFill="1" applyBorder="1" applyAlignment="1">
      <alignment horizontal="center"/>
    </xf>
    <xf numFmtId="9" fontId="0" fillId="3" borderId="8" xfId="1" applyFont="1" applyFill="1" applyBorder="1" applyAlignment="1">
      <alignment horizontal="center"/>
    </xf>
    <xf numFmtId="9" fontId="0" fillId="3" borderId="10" xfId="1" applyFont="1" applyFill="1" applyBorder="1" applyAlignment="1">
      <alignment horizontal="center"/>
    </xf>
    <xf numFmtId="0" fontId="0" fillId="3" borderId="12" xfId="0" applyFill="1" applyBorder="1" applyAlignment="1">
      <alignment horizontal="center"/>
    </xf>
    <xf numFmtId="9" fontId="0" fillId="3" borderId="16" xfId="1" applyFont="1" applyFill="1" applyBorder="1" applyAlignment="1">
      <alignment horizontal="center"/>
    </xf>
    <xf numFmtId="9" fontId="0" fillId="3" borderId="7" xfId="1" applyFont="1" applyFill="1" applyBorder="1" applyAlignment="1">
      <alignment horizontal="center"/>
    </xf>
    <xf numFmtId="3" fontId="2" fillId="3" borderId="3" xfId="4" applyNumberFormat="1" applyFont="1" applyFill="1" applyBorder="1" applyAlignment="1">
      <alignment horizontal="center"/>
    </xf>
    <xf numFmtId="3" fontId="0" fillId="3" borderId="3" xfId="4" applyNumberFormat="1" applyFont="1" applyFill="1" applyBorder="1" applyAlignment="1">
      <alignment horizontal="center"/>
    </xf>
    <xf numFmtId="0" fontId="14" fillId="3" borderId="2" xfId="3" applyFont="1" applyFill="1" applyBorder="1"/>
    <xf numFmtId="3" fontId="4" fillId="3" borderId="2" xfId="6" applyNumberFormat="1" applyFont="1" applyFill="1" applyBorder="1" applyAlignment="1">
      <alignment horizontal="center"/>
    </xf>
    <xf numFmtId="0" fontId="14" fillId="3" borderId="0" xfId="3" applyFont="1" applyFill="1" applyBorder="1"/>
    <xf numFmtId="3" fontId="4" fillId="3" borderId="0" xfId="6" applyNumberFormat="1" applyFont="1" applyFill="1" applyBorder="1" applyAlignment="1">
      <alignment horizontal="center"/>
    </xf>
    <xf numFmtId="3" fontId="3" fillId="3" borderId="0" xfId="6" applyNumberFormat="1" applyFont="1" applyFill="1" applyBorder="1" applyAlignment="1">
      <alignment horizontal="center"/>
    </xf>
    <xf numFmtId="3" fontId="14" fillId="3" borderId="4" xfId="6" applyNumberFormat="1" applyFont="1" applyFill="1" applyBorder="1" applyAlignment="1">
      <alignment horizontal="center"/>
    </xf>
    <xf numFmtId="9" fontId="4" fillId="3" borderId="2" xfId="6" applyNumberFormat="1" applyFont="1" applyFill="1" applyBorder="1" applyAlignment="1">
      <alignment horizontal="center"/>
    </xf>
    <xf numFmtId="9" fontId="4" fillId="3" borderId="0" xfId="6" applyNumberFormat="1" applyFont="1" applyFill="1" applyBorder="1" applyAlignment="1">
      <alignment horizontal="center"/>
    </xf>
    <xf numFmtId="9" fontId="14" fillId="3" borderId="4" xfId="6" applyNumberFormat="1" applyFont="1" applyFill="1" applyBorder="1" applyAlignment="1">
      <alignment horizontal="center"/>
    </xf>
    <xf numFmtId="3" fontId="4" fillId="3" borderId="0" xfId="6" applyNumberFormat="1" applyFont="1" applyFill="1" applyAlignment="1">
      <alignment horizontal="center"/>
    </xf>
    <xf numFmtId="3" fontId="3" fillId="3" borderId="0" xfId="6" applyNumberFormat="1" applyFont="1" applyFill="1" applyAlignment="1">
      <alignment horizontal="center"/>
    </xf>
    <xf numFmtId="9" fontId="4" fillId="3" borderId="0" xfId="1" applyFont="1" applyFill="1" applyAlignment="1">
      <alignment horizontal="center"/>
    </xf>
    <xf numFmtId="165" fontId="0" fillId="3" borderId="10" xfId="1" applyNumberFormat="1" applyFont="1" applyFill="1" applyBorder="1" applyAlignment="1">
      <alignment horizontal="center"/>
    </xf>
    <xf numFmtId="169" fontId="0" fillId="3" borderId="0" xfId="0" applyNumberFormat="1" applyFill="1" applyBorder="1" applyAlignment="1">
      <alignment horizontal="center"/>
    </xf>
    <xf numFmtId="169" fontId="2" fillId="3" borderId="3" xfId="0" applyNumberFormat="1" applyFont="1" applyFill="1" applyBorder="1" applyAlignment="1">
      <alignment horizontal="center"/>
    </xf>
    <xf numFmtId="169" fontId="0" fillId="3" borderId="0" xfId="0" applyNumberFormat="1" applyFill="1" applyAlignment="1">
      <alignment horizontal="center"/>
    </xf>
    <xf numFmtId="169" fontId="0" fillId="3" borderId="5" xfId="0" applyNumberFormat="1" applyFill="1" applyBorder="1" applyAlignment="1">
      <alignment horizontal="center"/>
    </xf>
    <xf numFmtId="169" fontId="2" fillId="3" borderId="0" xfId="0" applyNumberFormat="1" applyFont="1" applyFill="1" applyAlignment="1">
      <alignment horizontal="center"/>
    </xf>
    <xf numFmtId="0" fontId="0" fillId="3" borderId="23" xfId="0" applyFill="1" applyBorder="1" applyAlignment="1">
      <alignment horizontal="center"/>
    </xf>
    <xf numFmtId="3" fontId="10" fillId="3" borderId="4" xfId="0" applyNumberFormat="1" applyFont="1" applyFill="1" applyBorder="1" applyAlignment="1">
      <alignment horizontal="center"/>
    </xf>
    <xf numFmtId="3" fontId="9" fillId="3" borderId="0" xfId="0" applyNumberFormat="1" applyFont="1" applyFill="1" applyAlignment="1">
      <alignment horizontal="center"/>
    </xf>
    <xf numFmtId="3" fontId="9" fillId="3" borderId="0" xfId="0" applyNumberFormat="1" applyFont="1" applyFill="1" applyBorder="1" applyAlignment="1">
      <alignment horizontal="center"/>
    </xf>
    <xf numFmtId="0" fontId="0" fillId="3" borderId="5" xfId="0" applyFill="1" applyBorder="1"/>
    <xf numFmtId="3" fontId="10" fillId="3" borderId="0" xfId="0" applyNumberFormat="1" applyFont="1" applyFill="1" applyBorder="1" applyAlignment="1">
      <alignment horizontal="center"/>
    </xf>
    <xf numFmtId="0" fontId="0" fillId="3" borderId="0" xfId="0" applyFont="1" applyFill="1" applyBorder="1"/>
    <xf numFmtId="3" fontId="2" fillId="0" borderId="4" xfId="0" applyNumberFormat="1" applyFont="1" applyBorder="1" applyAlignment="1">
      <alignment horizontal="center"/>
    </xf>
    <xf numFmtId="0" fontId="2" fillId="2" borderId="4" xfId="0" applyFont="1" applyFill="1" applyBorder="1" applyAlignment="1">
      <alignment horizontal="center"/>
    </xf>
    <xf numFmtId="0" fontId="2" fillId="2" borderId="8" xfId="0" applyFont="1" applyFill="1" applyBorder="1" applyAlignment="1">
      <alignment horizontal="center" vertical="center"/>
    </xf>
    <xf numFmtId="0" fontId="2" fillId="2" borderId="17" xfId="0" applyFont="1" applyFill="1" applyBorder="1" applyAlignment="1">
      <alignment horizontal="center" vertical="center"/>
    </xf>
    <xf numFmtId="165" fontId="2" fillId="3" borderId="7" xfId="1" applyNumberFormat="1" applyFont="1" applyFill="1" applyBorder="1" applyAlignment="1">
      <alignment horizontal="center"/>
    </xf>
    <xf numFmtId="0" fontId="0" fillId="3" borderId="28" xfId="0" applyFill="1" applyBorder="1"/>
    <xf numFmtId="3" fontId="0" fillId="3" borderId="13" xfId="0" applyNumberFormat="1" applyFont="1" applyFill="1" applyBorder="1" applyAlignment="1">
      <alignment horizontal="center"/>
    </xf>
    <xf numFmtId="0" fontId="2" fillId="2" borderId="8" xfId="0" applyFont="1" applyFill="1" applyBorder="1" applyAlignment="1">
      <alignment horizontal="center" vertical="center" wrapText="1"/>
    </xf>
    <xf numFmtId="0" fontId="2" fillId="2" borderId="22" xfId="0" applyFont="1" applyFill="1" applyBorder="1" applyAlignment="1">
      <alignment horizontal="center" vertical="center"/>
    </xf>
    <xf numFmtId="0" fontId="0" fillId="0" borderId="0" xfId="0" applyAlignment="1">
      <alignment horizontal="center"/>
    </xf>
    <xf numFmtId="0" fontId="0" fillId="3" borderId="0" xfId="0" applyFont="1" applyFill="1" applyBorder="1" applyAlignment="1">
      <alignment vertical="center" wrapText="1"/>
    </xf>
    <xf numFmtId="0" fontId="2" fillId="2" borderId="10" xfId="0" applyFont="1" applyFill="1" applyBorder="1" applyAlignment="1">
      <alignment horizontal="center" vertical="center"/>
    </xf>
    <xf numFmtId="0" fontId="18" fillId="0" borderId="0" xfId="0" applyFont="1" applyFill="1"/>
    <xf numFmtId="2" fontId="0" fillId="3" borderId="0" xfId="0" applyNumberFormat="1" applyFill="1" applyBorder="1" applyAlignment="1">
      <alignment horizontal="center"/>
    </xf>
    <xf numFmtId="0" fontId="2" fillId="3" borderId="2" xfId="1" applyNumberFormat="1" applyFont="1" applyFill="1" applyBorder="1" applyAlignment="1">
      <alignment horizontal="center"/>
    </xf>
    <xf numFmtId="169" fontId="0" fillId="0" borderId="0" xfId="0" applyNumberFormat="1" applyAlignment="1">
      <alignment horizontal="center"/>
    </xf>
    <xf numFmtId="0" fontId="2" fillId="3" borderId="0" xfId="0" applyFont="1" applyFill="1" applyBorder="1" applyAlignment="1">
      <alignment horizontal="left"/>
    </xf>
    <xf numFmtId="0" fontId="2" fillId="3" borderId="3" xfId="0" applyFont="1" applyFill="1" applyBorder="1" applyAlignment="1">
      <alignment horizontal="left"/>
    </xf>
    <xf numFmtId="0" fontId="2" fillId="2" borderId="22" xfId="0" applyFont="1" applyFill="1" applyBorder="1" applyAlignment="1">
      <alignment horizontal="center" vertical="center"/>
    </xf>
    <xf numFmtId="0" fontId="2" fillId="2" borderId="21" xfId="0" applyFont="1" applyFill="1" applyBorder="1" applyAlignment="1">
      <alignment horizontal="center" vertical="center"/>
    </xf>
    <xf numFmtId="0" fontId="0" fillId="0" borderId="0" xfId="0" applyAlignment="1">
      <alignment horizontal="center"/>
    </xf>
    <xf numFmtId="0" fontId="0" fillId="0" borderId="0" xfId="0" applyFill="1" applyAlignment="1">
      <alignment horizontal="center"/>
    </xf>
    <xf numFmtId="167" fontId="0" fillId="0" borderId="0" xfId="4" applyNumberFormat="1" applyFont="1" applyAlignment="1">
      <alignment horizontal="center"/>
    </xf>
    <xf numFmtId="0" fontId="0" fillId="3" borderId="0" xfId="0" applyFill="1" applyBorder="1" applyAlignment="1">
      <alignment horizontal="left"/>
    </xf>
    <xf numFmtId="0" fontId="0" fillId="3" borderId="0" xfId="0" applyNumberFormat="1" applyFill="1" applyAlignment="1">
      <alignment horizontal="center"/>
    </xf>
    <xf numFmtId="0" fontId="0" fillId="3" borderId="0" xfId="0" applyFill="1" applyAlignment="1">
      <alignment horizontal="left"/>
    </xf>
    <xf numFmtId="0" fontId="0" fillId="3" borderId="0" xfId="0" applyNumberFormat="1" applyFill="1"/>
    <xf numFmtId="10" fontId="0" fillId="3" borderId="16" xfId="1" applyNumberFormat="1" applyFont="1" applyFill="1" applyBorder="1"/>
    <xf numFmtId="10" fontId="0" fillId="3" borderId="24" xfId="1" applyNumberFormat="1" applyFont="1" applyFill="1" applyBorder="1"/>
    <xf numFmtId="10" fontId="0" fillId="3" borderId="25" xfId="1" applyNumberFormat="1" applyFont="1" applyFill="1" applyBorder="1"/>
    <xf numFmtId="10" fontId="0" fillId="3" borderId="28" xfId="1" applyNumberFormat="1" applyFont="1" applyFill="1" applyBorder="1"/>
    <xf numFmtId="165" fontId="0" fillId="3" borderId="12" xfId="1" applyNumberFormat="1" applyFont="1" applyFill="1" applyBorder="1" applyAlignment="1">
      <alignment horizontal="center"/>
    </xf>
    <xf numFmtId="0" fontId="0" fillId="3" borderId="24" xfId="0" applyFill="1" applyBorder="1"/>
    <xf numFmtId="0" fontId="0" fillId="3" borderId="25" xfId="0" applyFill="1" applyBorder="1"/>
    <xf numFmtId="0" fontId="0" fillId="3" borderId="11" xfId="0" applyFill="1" applyBorder="1" applyAlignment="1">
      <alignment horizontal="center"/>
    </xf>
    <xf numFmtId="10" fontId="0" fillId="3" borderId="24" xfId="1" applyNumberFormat="1" applyFont="1" applyFill="1" applyBorder="1" applyAlignment="1">
      <alignment horizontal="center"/>
    </xf>
    <xf numFmtId="0" fontId="0" fillId="3" borderId="10" xfId="0" applyFill="1" applyBorder="1" applyAlignment="1">
      <alignment horizontal="center"/>
    </xf>
    <xf numFmtId="10" fontId="0" fillId="3" borderId="25" xfId="1" applyNumberFormat="1" applyFont="1" applyFill="1" applyBorder="1" applyAlignment="1">
      <alignment horizontal="center"/>
    </xf>
    <xf numFmtId="10" fontId="0" fillId="3" borderId="28" xfId="1" applyNumberFormat="1" applyFont="1" applyFill="1" applyBorder="1" applyAlignment="1">
      <alignment horizontal="center"/>
    </xf>
    <xf numFmtId="3" fontId="0" fillId="3" borderId="11" xfId="0" applyNumberFormat="1" applyFont="1" applyFill="1" applyBorder="1" applyAlignment="1">
      <alignment horizontal="center"/>
    </xf>
    <xf numFmtId="3" fontId="0" fillId="3" borderId="10" xfId="0" applyNumberFormat="1" applyFont="1" applyFill="1" applyBorder="1" applyAlignment="1">
      <alignment horizontal="center"/>
    </xf>
    <xf numFmtId="1" fontId="0" fillId="3" borderId="2" xfId="0" applyNumberFormat="1" applyFill="1" applyBorder="1" applyAlignment="1">
      <alignment horizontal="center"/>
    </xf>
    <xf numFmtId="1" fontId="0" fillId="3" borderId="3" xfId="0" applyNumberFormat="1" applyFill="1" applyBorder="1" applyAlignment="1">
      <alignment horizontal="center"/>
    </xf>
    <xf numFmtId="0" fontId="2" fillId="2" borderId="26" xfId="0" applyFont="1" applyFill="1" applyBorder="1"/>
    <xf numFmtId="0" fontId="0" fillId="2" borderId="3" xfId="0" applyFill="1" applyBorder="1"/>
    <xf numFmtId="3" fontId="0" fillId="3" borderId="7" xfId="0" applyNumberFormat="1" applyFont="1" applyFill="1" applyBorder="1" applyAlignment="1">
      <alignment horizontal="center"/>
    </xf>
    <xf numFmtId="0" fontId="0" fillId="2" borderId="12" xfId="0" applyFill="1" applyBorder="1"/>
    <xf numFmtId="0" fontId="0" fillId="2" borderId="14" xfId="0" applyFill="1" applyBorder="1"/>
    <xf numFmtId="0" fontId="0" fillId="0" borderId="12" xfId="0" applyBorder="1"/>
    <xf numFmtId="9" fontId="3" fillId="3" borderId="0" xfId="6" applyNumberFormat="1" applyFont="1" applyFill="1" applyBorder="1" applyAlignment="1">
      <alignment horizontal="center"/>
    </xf>
    <xf numFmtId="9" fontId="14" fillId="3" borderId="4" xfId="1" applyFont="1" applyFill="1" applyBorder="1" applyAlignment="1">
      <alignment horizontal="center"/>
    </xf>
    <xf numFmtId="165" fontId="16" fillId="6" borderId="12" xfId="626" applyNumberFormat="1" applyFont="1" applyFill="1" applyBorder="1" applyAlignment="1">
      <alignment horizontal="center"/>
    </xf>
    <xf numFmtId="165" fontId="16" fillId="9" borderId="16" xfId="626" applyNumberFormat="1" applyFont="1" applyFill="1" applyBorder="1" applyAlignment="1">
      <alignment horizontal="center"/>
    </xf>
    <xf numFmtId="0" fontId="15" fillId="3" borderId="7" xfId="669" applyFont="1" applyFill="1" applyBorder="1" applyAlignment="1">
      <alignment horizontal="center"/>
    </xf>
    <xf numFmtId="165" fontId="16" fillId="3" borderId="7" xfId="626" applyNumberFormat="1" applyFont="1" applyFill="1" applyBorder="1" applyAlignment="1">
      <alignment horizontal="center"/>
    </xf>
    <xf numFmtId="0" fontId="17" fillId="0" borderId="14" xfId="669" applyFont="1" applyFill="1" applyBorder="1" applyAlignment="1">
      <alignment vertical="center"/>
    </xf>
    <xf numFmtId="0" fontId="15" fillId="3" borderId="14" xfId="669" applyFont="1" applyFill="1" applyBorder="1" applyAlignment="1">
      <alignment horizontal="center"/>
    </xf>
    <xf numFmtId="0" fontId="3" fillId="0" borderId="10" xfId="669" applyFont="1" applyBorder="1"/>
    <xf numFmtId="3" fontId="0" fillId="3" borderId="14" xfId="0" applyNumberFormat="1" applyFont="1" applyFill="1" applyBorder="1" applyAlignment="1">
      <alignment horizontal="center"/>
    </xf>
    <xf numFmtId="0" fontId="2" fillId="3" borderId="16" xfId="0" applyFont="1" applyFill="1" applyBorder="1"/>
    <xf numFmtId="0" fontId="5" fillId="3" borderId="0" xfId="0" applyFont="1" applyFill="1" applyAlignment="1">
      <alignment vertical="top" wrapText="1"/>
    </xf>
    <xf numFmtId="168" fontId="0" fillId="3" borderId="11" xfId="0" applyNumberFormat="1" applyFill="1" applyBorder="1" applyAlignment="1">
      <alignment horizontal="center"/>
    </xf>
    <xf numFmtId="168" fontId="0" fillId="3" borderId="10" xfId="0" applyNumberFormat="1" applyFill="1" applyBorder="1" applyAlignment="1">
      <alignment horizontal="center"/>
    </xf>
    <xf numFmtId="168" fontId="0" fillId="3" borderId="7" xfId="0" applyNumberFormat="1" applyFill="1" applyBorder="1" applyAlignment="1">
      <alignment horizontal="center"/>
    </xf>
    <xf numFmtId="165" fontId="0" fillId="3" borderId="25" xfId="1" applyNumberFormat="1" applyFont="1" applyFill="1" applyBorder="1" applyAlignment="1">
      <alignment horizontal="center"/>
    </xf>
    <xf numFmtId="3" fontId="4" fillId="0" borderId="0" xfId="6" applyNumberFormat="1" applyFont="1" applyFill="1" applyAlignment="1">
      <alignment horizontal="center"/>
    </xf>
    <xf numFmtId="0" fontId="18" fillId="14" borderId="0" xfId="0" applyFont="1" applyFill="1"/>
    <xf numFmtId="165" fontId="2" fillId="3" borderId="16" xfId="0" applyNumberFormat="1" applyFont="1" applyFill="1" applyBorder="1" applyAlignment="1">
      <alignment horizontal="center"/>
    </xf>
    <xf numFmtId="10" fontId="0" fillId="3" borderId="20" xfId="1" applyNumberFormat="1" applyFont="1" applyFill="1" applyBorder="1" applyAlignment="1">
      <alignment horizontal="center"/>
    </xf>
    <xf numFmtId="165" fontId="2" fillId="3" borderId="25" xfId="1" applyNumberFormat="1" applyFont="1" applyFill="1" applyBorder="1" applyAlignment="1">
      <alignment horizontal="center"/>
    </xf>
    <xf numFmtId="168" fontId="0" fillId="3" borderId="14" xfId="1" applyNumberFormat="1" applyFont="1" applyFill="1" applyBorder="1" applyAlignment="1">
      <alignment horizontal="center"/>
    </xf>
    <xf numFmtId="168" fontId="0" fillId="3" borderId="25" xfId="1" applyNumberFormat="1" applyFont="1" applyFill="1" applyBorder="1" applyAlignment="1">
      <alignment horizontal="center"/>
    </xf>
    <xf numFmtId="10" fontId="0" fillId="3" borderId="0" xfId="1" applyNumberFormat="1" applyFont="1" applyFill="1" applyBorder="1" applyAlignment="1">
      <alignment horizontal="center"/>
    </xf>
    <xf numFmtId="165" fontId="0" fillId="3" borderId="0" xfId="1" applyNumberFormat="1" applyFont="1" applyFill="1" applyAlignment="1">
      <alignment horizontal="center"/>
    </xf>
    <xf numFmtId="165" fontId="0" fillId="3" borderId="2" xfId="1" applyNumberFormat="1" applyFont="1" applyFill="1" applyBorder="1" applyAlignment="1">
      <alignment horizontal="center"/>
    </xf>
    <xf numFmtId="165" fontId="0" fillId="3" borderId="24" xfId="1" applyNumberFormat="1" applyFont="1" applyFill="1" applyBorder="1" applyAlignment="1">
      <alignment horizontal="center"/>
    </xf>
    <xf numFmtId="165" fontId="2" fillId="3" borderId="16" xfId="1" applyNumberFormat="1" applyFont="1" applyFill="1" applyBorder="1" applyAlignment="1">
      <alignment horizontal="center"/>
    </xf>
    <xf numFmtId="0" fontId="7" fillId="14" borderId="0" xfId="0" applyFont="1" applyFill="1" applyAlignment="1">
      <alignment horizontal="center"/>
    </xf>
    <xf numFmtId="0" fontId="0" fillId="14" borderId="0" xfId="0" applyFont="1" applyFill="1" applyAlignment="1">
      <alignment horizontal="left" vertical="top" wrapText="1"/>
    </xf>
    <xf numFmtId="0" fontId="2" fillId="2" borderId="4" xfId="0" applyFont="1" applyFill="1" applyBorder="1" applyAlignment="1">
      <alignment horizontal="center"/>
    </xf>
    <xf numFmtId="0" fontId="5" fillId="3" borderId="0" xfId="0" applyFont="1" applyFill="1" applyAlignment="1">
      <alignment horizontal="left" vertical="top"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5" xfId="0" applyFont="1" applyFill="1" applyBorder="1" applyAlignment="1">
      <alignment horizontal="center" wrapText="1"/>
    </xf>
    <xf numFmtId="0" fontId="2" fillId="2" borderId="3" xfId="0" applyFont="1" applyFill="1" applyBorder="1" applyAlignment="1">
      <alignment horizontal="center" wrapText="1"/>
    </xf>
    <xf numFmtId="0" fontId="2" fillId="2" borderId="12"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3" borderId="2" xfId="0" applyFont="1" applyFill="1" applyBorder="1" applyAlignment="1">
      <alignment horizontal="left"/>
    </xf>
    <xf numFmtId="0" fontId="2" fillId="3" borderId="0" xfId="0" applyFont="1" applyFill="1" applyBorder="1" applyAlignment="1">
      <alignment horizontal="left"/>
    </xf>
    <xf numFmtId="0" fontId="2" fillId="3" borderId="3" xfId="0" applyFont="1" applyFill="1" applyBorder="1" applyAlignment="1">
      <alignment horizontal="left"/>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4" xfId="0" applyFont="1" applyFill="1" applyBorder="1" applyAlignment="1">
      <alignment horizontal="center" wrapText="1"/>
    </xf>
    <xf numFmtId="0" fontId="5" fillId="3" borderId="0" xfId="0" applyFont="1" applyFill="1" applyBorder="1" applyAlignment="1">
      <alignment horizontal="left" wrapText="1"/>
    </xf>
    <xf numFmtId="0" fontId="2" fillId="2" borderId="12" xfId="0" applyFont="1" applyFill="1" applyBorder="1" applyAlignment="1">
      <alignment horizontal="center" wrapText="1"/>
    </xf>
    <xf numFmtId="0" fontId="2" fillId="2" borderId="16" xfId="0" applyFont="1" applyFill="1" applyBorder="1" applyAlignment="1">
      <alignment horizontal="center" wrapText="1"/>
    </xf>
    <xf numFmtId="0" fontId="0" fillId="0" borderId="0" xfId="0" applyAlignment="1">
      <alignment horizontal="center" wrapText="1"/>
    </xf>
    <xf numFmtId="0" fontId="2" fillId="2" borderId="20" xfId="0" applyFont="1" applyFill="1" applyBorder="1" applyAlignment="1">
      <alignment horizontal="center"/>
    </xf>
    <xf numFmtId="0" fontId="2" fillId="2" borderId="5" xfId="0" applyFont="1" applyFill="1" applyBorder="1" applyAlignment="1">
      <alignment horizontal="center"/>
    </xf>
    <xf numFmtId="0" fontId="14" fillId="2" borderId="5" xfId="3" applyFont="1" applyFill="1" applyBorder="1" applyAlignment="1">
      <alignment horizontal="center" wrapText="1"/>
    </xf>
    <xf numFmtId="0" fontId="14" fillId="2" borderId="4" xfId="3" applyFont="1" applyFill="1" applyBorder="1" applyAlignment="1">
      <alignment horizontal="center" wrapText="1"/>
    </xf>
    <xf numFmtId="0" fontId="17" fillId="10" borderId="4" xfId="669" applyFont="1" applyFill="1" applyBorder="1" applyAlignment="1">
      <alignment horizontal="center" vertical="center"/>
    </xf>
    <xf numFmtId="0" fontId="62" fillId="3" borderId="12" xfId="0" applyFont="1" applyFill="1" applyBorder="1" applyAlignment="1">
      <alignment horizontal="center"/>
    </xf>
    <xf numFmtId="0" fontId="62" fillId="3" borderId="4" xfId="0" applyFont="1" applyFill="1" applyBorder="1" applyAlignment="1">
      <alignment horizontal="center"/>
    </xf>
    <xf numFmtId="0" fontId="62" fillId="3" borderId="16" xfId="0" applyFont="1" applyFill="1" applyBorder="1" applyAlignment="1">
      <alignment horizontal="center"/>
    </xf>
    <xf numFmtId="0" fontId="62" fillId="3" borderId="17" xfId="0" applyFont="1" applyFill="1" applyBorder="1" applyAlignment="1">
      <alignment horizontal="center"/>
    </xf>
    <xf numFmtId="0" fontId="2" fillId="3" borderId="5" xfId="0" applyFont="1" applyFill="1" applyBorder="1" applyAlignment="1">
      <alignment horizontal="center"/>
    </xf>
    <xf numFmtId="0" fontId="2" fillId="3" borderId="20" xfId="0" applyFont="1" applyFill="1" applyBorder="1" applyAlignment="1">
      <alignment horizontal="center"/>
    </xf>
    <xf numFmtId="0" fontId="2" fillId="3" borderId="4" xfId="0" applyFont="1" applyFill="1" applyBorder="1" applyAlignment="1">
      <alignment horizontal="center"/>
    </xf>
    <xf numFmtId="0" fontId="2" fillId="3" borderId="16" xfId="0" applyFont="1" applyFill="1" applyBorder="1" applyAlignment="1">
      <alignment horizontal="center"/>
    </xf>
    <xf numFmtId="0" fontId="17" fillId="10" borderId="16" xfId="669" applyFont="1" applyFill="1" applyBorder="1" applyAlignment="1">
      <alignment horizontal="center" vertical="center"/>
    </xf>
    <xf numFmtId="0" fontId="3" fillId="0" borderId="15" xfId="669" applyFont="1" applyBorder="1" applyAlignment="1">
      <alignment horizontal="center" wrapText="1"/>
    </xf>
    <xf numFmtId="0" fontId="3" fillId="0" borderId="3" xfId="669" applyFont="1" applyBorder="1" applyAlignment="1">
      <alignment horizontal="center" wrapText="1"/>
    </xf>
    <xf numFmtId="0" fontId="3" fillId="0" borderId="28" xfId="669" applyFont="1" applyBorder="1" applyAlignment="1">
      <alignment horizontal="center" wrapText="1"/>
    </xf>
    <xf numFmtId="0" fontId="17" fillId="10" borderId="3" xfId="669"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2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21" xfId="0" applyFont="1" applyFill="1" applyBorder="1" applyAlignment="1">
      <alignment horizontal="center" vertical="center"/>
    </xf>
    <xf numFmtId="0" fontId="0" fillId="0" borderId="0" xfId="0" applyAlignment="1">
      <alignment horizontal="center"/>
    </xf>
    <xf numFmtId="0" fontId="0" fillId="0" borderId="3" xfId="0" applyBorder="1" applyAlignment="1">
      <alignment horizontal="center"/>
    </xf>
    <xf numFmtId="0" fontId="0" fillId="3" borderId="5" xfId="0" applyFont="1" applyFill="1" applyBorder="1" applyAlignment="1">
      <alignment horizontal="left" vertical="center" wrapText="1"/>
    </xf>
    <xf numFmtId="0" fontId="0" fillId="3" borderId="0" xfId="0" applyFont="1" applyFill="1" applyBorder="1" applyAlignment="1">
      <alignment horizontal="left" vertical="center" wrapText="1"/>
    </xf>
    <xf numFmtId="0" fontId="2" fillId="3" borderId="0" xfId="0" applyFont="1" applyFill="1" applyAlignment="1">
      <alignment horizontal="center"/>
    </xf>
    <xf numFmtId="0" fontId="0" fillId="3" borderId="0" xfId="0" applyFont="1" applyFill="1" applyBorder="1" applyAlignment="1">
      <alignment horizontal="left" wrapText="1"/>
    </xf>
    <xf numFmtId="0" fontId="2" fillId="2" borderId="15" xfId="0" applyFont="1" applyFill="1" applyBorder="1" applyAlignment="1">
      <alignment horizontal="center"/>
    </xf>
    <xf numFmtId="0" fontId="2" fillId="2" borderId="3" xfId="0" applyFont="1" applyFill="1" applyBorder="1" applyAlignment="1">
      <alignment horizontal="center"/>
    </xf>
    <xf numFmtId="0" fontId="2" fillId="2" borderId="28" xfId="0" applyFont="1" applyFill="1" applyBorder="1" applyAlignment="1">
      <alignment horizontal="center"/>
    </xf>
    <xf numFmtId="0" fontId="10" fillId="2" borderId="12" xfId="0" applyFont="1" applyFill="1" applyBorder="1" applyAlignment="1">
      <alignment horizontal="center"/>
    </xf>
    <xf numFmtId="0" fontId="10" fillId="2" borderId="4" xfId="0" applyFont="1" applyFill="1" applyBorder="1" applyAlignment="1">
      <alignment horizontal="center"/>
    </xf>
    <xf numFmtId="0" fontId="10" fillId="2" borderId="16" xfId="0" applyFont="1" applyFill="1" applyBorder="1" applyAlignment="1">
      <alignment horizontal="center"/>
    </xf>
    <xf numFmtId="0" fontId="10" fillId="2" borderId="15" xfId="0" applyFont="1" applyFill="1" applyBorder="1" applyAlignment="1">
      <alignment horizontal="center"/>
    </xf>
    <xf numFmtId="0" fontId="10" fillId="2" borderId="28" xfId="0" applyFont="1" applyFill="1" applyBorder="1" applyAlignment="1">
      <alignment horizontal="center"/>
    </xf>
    <xf numFmtId="0" fontId="2" fillId="2" borderId="14" xfId="0" applyFont="1" applyFill="1" applyBorder="1" applyAlignment="1">
      <alignment horizontal="center"/>
    </xf>
    <xf numFmtId="0" fontId="2" fillId="2" borderId="25" xfId="0" applyFont="1" applyFill="1" applyBorder="1" applyAlignment="1">
      <alignment horizontal="center"/>
    </xf>
    <xf numFmtId="0" fontId="2" fillId="2" borderId="17" xfId="0" applyFont="1" applyFill="1" applyBorder="1" applyAlignment="1">
      <alignment horizontal="center" vertical="center"/>
    </xf>
    <xf numFmtId="0" fontId="2" fillId="2" borderId="12"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0" xfId="0" applyFont="1" applyFill="1" applyBorder="1" applyAlignment="1">
      <alignment horizontal="center"/>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wrapText="1"/>
    </xf>
    <xf numFmtId="0" fontId="2" fillId="0" borderId="0" xfId="0" applyFont="1" applyAlignment="1">
      <alignment horizontal="center"/>
    </xf>
    <xf numFmtId="0" fontId="20" fillId="47" borderId="12" xfId="2" applyFont="1" applyFill="1" applyBorder="1" applyAlignment="1" applyProtection="1">
      <alignment horizontal="left" vertical="center"/>
    </xf>
    <xf numFmtId="0" fontId="20" fillId="47" borderId="4" xfId="2" applyFont="1" applyFill="1" applyBorder="1" applyAlignment="1" applyProtection="1">
      <alignment horizontal="left" vertical="center"/>
    </xf>
    <xf numFmtId="0" fontId="20" fillId="47" borderId="16" xfId="2" applyFont="1" applyFill="1" applyBorder="1" applyAlignment="1" applyProtection="1">
      <alignment horizontal="left" vertical="center"/>
    </xf>
    <xf numFmtId="4" fontId="19" fillId="48" borderId="12" xfId="2" applyNumberFormat="1" applyFont="1" applyFill="1" applyBorder="1" applyAlignment="1" applyProtection="1">
      <alignment horizontal="left" vertical="center"/>
    </xf>
    <xf numFmtId="4" fontId="19" fillId="48" borderId="16" xfId="2" applyNumberFormat="1" applyFont="1" applyFill="1" applyBorder="1" applyAlignment="1" applyProtection="1">
      <alignment horizontal="left" vertical="center"/>
    </xf>
    <xf numFmtId="0" fontId="54" fillId="48" borderId="0" xfId="0" applyFont="1" applyFill="1" applyBorder="1" applyAlignment="1">
      <alignment horizontal="left" vertical="center" wrapText="1"/>
    </xf>
    <xf numFmtId="0" fontId="54" fillId="48" borderId="0" xfId="0" applyFont="1" applyFill="1" applyBorder="1" applyAlignment="1">
      <alignment horizontal="center" vertical="center" wrapText="1"/>
    </xf>
    <xf numFmtId="0" fontId="54" fillId="48" borderId="3" xfId="0" applyFont="1" applyFill="1" applyBorder="1" applyAlignment="1">
      <alignment horizontal="center" vertical="center" wrapText="1"/>
    </xf>
    <xf numFmtId="0" fontId="22" fillId="47" borderId="12" xfId="2" applyFont="1" applyFill="1" applyBorder="1" applyAlignment="1" applyProtection="1">
      <alignment horizontal="left" vertical="center"/>
    </xf>
    <xf numFmtId="0" fontId="22" fillId="47" borderId="4" xfId="2" applyFont="1" applyFill="1" applyBorder="1" applyAlignment="1" applyProtection="1">
      <alignment horizontal="left" vertical="center"/>
    </xf>
    <xf numFmtId="0" fontId="22" fillId="47" borderId="16" xfId="2" applyFont="1" applyFill="1" applyBorder="1" applyAlignment="1" applyProtection="1">
      <alignment horizontal="left" vertical="center"/>
    </xf>
    <xf numFmtId="0" fontId="42" fillId="48" borderId="0" xfId="0" applyFont="1" applyFill="1" applyBorder="1" applyAlignment="1">
      <alignment horizontal="left" vertical="center" wrapText="1"/>
    </xf>
    <xf numFmtId="0" fontId="45" fillId="48" borderId="12" xfId="0" applyFont="1" applyFill="1" applyBorder="1" applyAlignment="1">
      <alignment horizontal="center" vertical="center"/>
    </xf>
    <xf numFmtId="0" fontId="45" fillId="48" borderId="4" xfId="0" applyFont="1" applyFill="1" applyBorder="1" applyAlignment="1">
      <alignment horizontal="center" vertical="center"/>
    </xf>
    <xf numFmtId="0" fontId="45" fillId="48" borderId="16" xfId="0" applyFont="1" applyFill="1" applyBorder="1" applyAlignment="1">
      <alignment horizontal="center" vertical="center"/>
    </xf>
    <xf numFmtId="167" fontId="42" fillId="48" borderId="4" xfId="4" applyNumberFormat="1" applyFont="1" applyFill="1" applyBorder="1" applyAlignment="1">
      <alignment vertical="center"/>
    </xf>
    <xf numFmtId="167" fontId="42" fillId="48" borderId="16" xfId="4" applyNumberFormat="1" applyFont="1" applyFill="1" applyBorder="1" applyAlignment="1">
      <alignment vertical="center"/>
    </xf>
    <xf numFmtId="167" fontId="42" fillId="48" borderId="19" xfId="4" applyNumberFormat="1" applyFont="1" applyFill="1" applyBorder="1" applyAlignment="1">
      <alignment vertical="center"/>
    </xf>
    <xf numFmtId="167" fontId="42" fillId="48" borderId="56" xfId="4" applyNumberFormat="1" applyFont="1" applyFill="1" applyBorder="1" applyAlignment="1">
      <alignment vertical="center"/>
    </xf>
    <xf numFmtId="0" fontId="45" fillId="47" borderId="29" xfId="0" applyFont="1" applyFill="1" applyBorder="1" applyAlignment="1">
      <alignment horizontal="left" vertical="center"/>
    </xf>
    <xf numFmtId="0" fontId="45" fillId="47" borderId="30" xfId="0" applyFont="1" applyFill="1" applyBorder="1" applyAlignment="1">
      <alignment horizontal="left" vertical="center"/>
    </xf>
    <xf numFmtId="167" fontId="42" fillId="47" borderId="30" xfId="4" applyNumberFormat="1" applyFont="1" applyFill="1" applyBorder="1" applyAlignment="1">
      <alignment vertical="center"/>
    </xf>
    <xf numFmtId="167" fontId="42" fillId="47" borderId="31" xfId="4" applyNumberFormat="1" applyFont="1" applyFill="1" applyBorder="1" applyAlignment="1">
      <alignment vertical="center"/>
    </xf>
    <xf numFmtId="0" fontId="42" fillId="48" borderId="4" xfId="0" applyFont="1" applyFill="1" applyBorder="1" applyAlignment="1">
      <alignment horizontal="right" vertical="center"/>
    </xf>
    <xf numFmtId="0" fontId="42" fillId="48" borderId="16" xfId="0" applyFont="1" applyFill="1" applyBorder="1" applyAlignment="1">
      <alignment horizontal="right" vertical="center"/>
    </xf>
    <xf numFmtId="0" fontId="42" fillId="48" borderId="17" xfId="0" applyFont="1" applyFill="1" applyBorder="1" applyAlignment="1">
      <alignment vertical="center" wrapText="1"/>
    </xf>
    <xf numFmtId="0" fontId="42" fillId="48" borderId="5" xfId="0" applyFont="1" applyFill="1" applyBorder="1" applyAlignment="1">
      <alignment vertical="center" wrapText="1"/>
    </xf>
    <xf numFmtId="0" fontId="42" fillId="48" borderId="15" xfId="0" applyFont="1" applyFill="1" applyBorder="1" applyAlignment="1">
      <alignment vertical="center" wrapText="1"/>
    </xf>
    <xf numFmtId="0" fontId="42" fillId="48" borderId="3" xfId="0" applyFont="1" applyFill="1" applyBorder="1" applyAlignment="1">
      <alignment vertical="center" wrapText="1"/>
    </xf>
    <xf numFmtId="0" fontId="48" fillId="48" borderId="17" xfId="0" applyFont="1" applyFill="1" applyBorder="1" applyAlignment="1">
      <alignment horizontal="right" vertical="center"/>
    </xf>
    <xf numFmtId="0" fontId="48" fillId="48" borderId="15" xfId="0" applyFont="1" applyFill="1" applyBorder="1" applyAlignment="1">
      <alignment horizontal="right" vertical="center"/>
    </xf>
    <xf numFmtId="167" fontId="42" fillId="48" borderId="5" xfId="4" applyNumberFormat="1" applyFont="1" applyFill="1" applyBorder="1" applyAlignment="1">
      <alignment horizontal="right" vertical="top"/>
    </xf>
    <xf numFmtId="167" fontId="42" fillId="48" borderId="20" xfId="4" applyNumberFormat="1" applyFont="1" applyFill="1" applyBorder="1" applyAlignment="1">
      <alignment horizontal="right" vertical="top"/>
    </xf>
    <xf numFmtId="167" fontId="42" fillId="48" borderId="3" xfId="4" applyNumberFormat="1" applyFont="1" applyFill="1" applyBorder="1" applyAlignment="1">
      <alignment horizontal="right" vertical="top"/>
    </xf>
    <xf numFmtId="167" fontId="42" fillId="48" borderId="28" xfId="4" applyNumberFormat="1" applyFont="1" applyFill="1" applyBorder="1" applyAlignment="1">
      <alignment horizontal="right" vertical="top"/>
    </xf>
    <xf numFmtId="167" fontId="42" fillId="48" borderId="5" xfId="4" applyNumberFormat="1" applyFont="1" applyFill="1" applyBorder="1" applyAlignment="1">
      <alignment horizontal="right" vertical="center"/>
    </xf>
    <xf numFmtId="167" fontId="42" fillId="48" borderId="20" xfId="4" applyNumberFormat="1" applyFont="1" applyFill="1" applyBorder="1" applyAlignment="1">
      <alignment horizontal="right" vertical="center"/>
    </xf>
    <xf numFmtId="167" fontId="42" fillId="47" borderId="30" xfId="4" applyNumberFormat="1" applyFont="1" applyFill="1" applyBorder="1" applyAlignment="1">
      <alignment horizontal="right" vertical="center"/>
    </xf>
    <xf numFmtId="167" fontId="42" fillId="47" borderId="31" xfId="4" applyNumberFormat="1" applyFont="1" applyFill="1" applyBorder="1" applyAlignment="1">
      <alignment horizontal="right" vertical="center"/>
    </xf>
    <xf numFmtId="0" fontId="50" fillId="47" borderId="37" xfId="0" applyFont="1" applyFill="1" applyBorder="1" applyAlignment="1">
      <alignment horizontal="left" vertical="center" wrapText="1"/>
    </xf>
    <xf numFmtId="0" fontId="50" fillId="47" borderId="38" xfId="0" applyFont="1" applyFill="1" applyBorder="1" applyAlignment="1">
      <alignment horizontal="left" vertical="center" wrapText="1"/>
    </xf>
    <xf numFmtId="167" fontId="42" fillId="47" borderId="38" xfId="4" applyNumberFormat="1" applyFont="1" applyFill="1" applyBorder="1" applyAlignment="1">
      <alignment horizontal="right" vertical="center"/>
    </xf>
    <xf numFmtId="167" fontId="42" fillId="47" borderId="39" xfId="4" applyNumberFormat="1" applyFont="1" applyFill="1" applyBorder="1" applyAlignment="1">
      <alignment horizontal="right" vertical="center"/>
    </xf>
    <xf numFmtId="0" fontId="42" fillId="48" borderId="0" xfId="0" applyFont="1" applyFill="1" applyBorder="1" applyAlignment="1">
      <alignment horizontal="center" vertical="center"/>
    </xf>
    <xf numFmtId="0" fontId="42" fillId="48" borderId="12" xfId="0" applyFont="1" applyFill="1" applyBorder="1" applyAlignment="1">
      <alignment horizontal="left" vertical="center" wrapText="1"/>
    </xf>
    <xf numFmtId="0" fontId="42" fillId="48" borderId="4" xfId="0" applyFont="1" applyFill="1" applyBorder="1" applyAlignment="1">
      <alignment horizontal="left" vertical="center" wrapText="1"/>
    </xf>
    <xf numFmtId="0" fontId="42" fillId="48" borderId="16" xfId="0" applyFont="1" applyFill="1" applyBorder="1" applyAlignment="1">
      <alignment horizontal="left" vertical="center" wrapText="1"/>
    </xf>
    <xf numFmtId="167" fontId="42" fillId="48" borderId="4" xfId="4" applyNumberFormat="1" applyFont="1" applyFill="1" applyBorder="1" applyAlignment="1">
      <alignment horizontal="right" vertical="center"/>
    </xf>
    <xf numFmtId="167" fontId="42" fillId="48" borderId="16" xfId="4" applyNumberFormat="1" applyFont="1" applyFill="1" applyBorder="1" applyAlignment="1">
      <alignment horizontal="right" vertical="center"/>
    </xf>
    <xf numFmtId="0" fontId="42" fillId="48" borderId="17" xfId="0" applyFont="1" applyFill="1" applyBorder="1" applyAlignment="1">
      <alignment horizontal="left" vertical="center" wrapText="1"/>
    </xf>
    <xf numFmtId="0" fontId="42" fillId="48" borderId="5" xfId="0" applyFont="1" applyFill="1" applyBorder="1" applyAlignment="1">
      <alignment horizontal="left" vertical="center" wrapText="1"/>
    </xf>
    <xf numFmtId="0" fontId="42" fillId="48" borderId="20" xfId="0" applyFont="1" applyFill="1" applyBorder="1" applyAlignment="1">
      <alignment horizontal="left" vertical="center" wrapText="1"/>
    </xf>
    <xf numFmtId="0" fontId="42" fillId="48" borderId="5" xfId="0" applyFont="1" applyFill="1" applyBorder="1" applyAlignment="1">
      <alignment horizontal="right" vertical="center"/>
    </xf>
    <xf numFmtId="0" fontId="42" fillId="48" borderId="20" xfId="0" applyFont="1" applyFill="1" applyBorder="1" applyAlignment="1">
      <alignment horizontal="right" vertical="center"/>
    </xf>
    <xf numFmtId="167" fontId="42" fillId="47" borderId="30" xfId="4" applyNumberFormat="1" applyFont="1" applyFill="1" applyBorder="1" applyAlignment="1">
      <alignment horizontal="center" vertical="center"/>
    </xf>
    <xf numFmtId="167" fontId="42" fillId="47" borderId="31" xfId="4" applyNumberFormat="1" applyFont="1" applyFill="1" applyBorder="1" applyAlignment="1">
      <alignment horizontal="center" vertical="center"/>
    </xf>
    <xf numFmtId="9" fontId="45" fillId="48" borderId="12" xfId="0" applyNumberFormat="1" applyFont="1" applyFill="1" applyBorder="1" applyAlignment="1">
      <alignment horizontal="center" vertical="center"/>
    </xf>
    <xf numFmtId="9" fontId="45" fillId="48" borderId="4" xfId="0" applyNumberFormat="1" applyFont="1" applyFill="1" applyBorder="1" applyAlignment="1">
      <alignment horizontal="center" vertical="center"/>
    </xf>
    <xf numFmtId="9" fontId="45" fillId="48" borderId="16" xfId="0" applyNumberFormat="1" applyFont="1" applyFill="1" applyBorder="1" applyAlignment="1">
      <alignment horizontal="center" vertical="center"/>
    </xf>
    <xf numFmtId="0" fontId="47" fillId="48" borderId="0" xfId="0" applyFont="1" applyFill="1" applyBorder="1" applyAlignment="1">
      <alignment horizontal="left" vertical="center" wrapText="1"/>
    </xf>
    <xf numFmtId="0" fontId="45" fillId="48" borderId="0" xfId="0" applyFont="1" applyFill="1" applyBorder="1" applyAlignment="1">
      <alignment horizontal="center" vertical="center"/>
    </xf>
    <xf numFmtId="0" fontId="42" fillId="48" borderId="12" xfId="0" applyFont="1" applyFill="1" applyBorder="1" applyAlignment="1">
      <alignment horizontal="center" vertical="center"/>
    </xf>
    <xf numFmtId="0" fontId="42" fillId="48" borderId="4" xfId="0" applyFont="1" applyFill="1" applyBorder="1" applyAlignment="1">
      <alignment horizontal="center" vertical="center"/>
    </xf>
    <xf numFmtId="0" fontId="42" fillId="48" borderId="16" xfId="0" applyFont="1" applyFill="1" applyBorder="1" applyAlignment="1">
      <alignment horizontal="center" vertical="center"/>
    </xf>
    <xf numFmtId="0" fontId="42" fillId="48" borderId="12" xfId="0" applyFont="1" applyFill="1" applyBorder="1" applyAlignment="1">
      <alignment horizontal="center"/>
    </xf>
    <xf numFmtId="0" fontId="42" fillId="48" borderId="4" xfId="0" applyFont="1" applyFill="1" applyBorder="1" applyAlignment="1">
      <alignment horizontal="center"/>
    </xf>
    <xf numFmtId="0" fontId="42" fillId="48" borderId="16" xfId="0" applyFont="1" applyFill="1" applyBorder="1" applyAlignment="1">
      <alignment horizontal="center"/>
    </xf>
    <xf numFmtId="0" fontId="42" fillId="48" borderId="5" xfId="4" applyNumberFormat="1" applyFont="1" applyFill="1" applyBorder="1" applyAlignment="1">
      <alignment horizontal="right" vertical="top"/>
    </xf>
    <xf numFmtId="0" fontId="42" fillId="48" borderId="20" xfId="4" applyNumberFormat="1" applyFont="1" applyFill="1" applyBorder="1" applyAlignment="1">
      <alignment horizontal="right" vertical="top"/>
    </xf>
    <xf numFmtId="0" fontId="42" fillId="48" borderId="4" xfId="4" applyNumberFormat="1" applyFont="1" applyFill="1" applyBorder="1" applyAlignment="1">
      <alignment horizontal="right" vertical="top"/>
    </xf>
    <xf numFmtId="0" fontId="42" fillId="48" borderId="16" xfId="4" applyNumberFormat="1" applyFont="1" applyFill="1" applyBorder="1" applyAlignment="1">
      <alignment horizontal="right" vertical="top"/>
    </xf>
    <xf numFmtId="0" fontId="45" fillId="47" borderId="30" xfId="4" applyNumberFormat="1" applyFont="1" applyFill="1" applyBorder="1" applyAlignment="1">
      <alignment horizontal="right" vertical="top"/>
    </xf>
    <xf numFmtId="0" fontId="45" fillId="47" borderId="31" xfId="4" applyNumberFormat="1" applyFont="1" applyFill="1" applyBorder="1" applyAlignment="1">
      <alignment horizontal="right" vertical="top"/>
    </xf>
    <xf numFmtId="0" fontId="42" fillId="48" borderId="4" xfId="1" applyNumberFormat="1" applyFont="1" applyFill="1" applyBorder="1" applyAlignment="1">
      <alignment horizontal="right" vertical="top"/>
    </xf>
    <xf numFmtId="0" fontId="42" fillId="48" borderId="16" xfId="1" applyNumberFormat="1" applyFont="1" applyFill="1" applyBorder="1" applyAlignment="1">
      <alignment horizontal="right" vertical="top"/>
    </xf>
    <xf numFmtId="0" fontId="42" fillId="48" borderId="5" xfId="1" applyNumberFormat="1" applyFont="1" applyFill="1" applyBorder="1" applyAlignment="1">
      <alignment horizontal="right" vertical="top"/>
    </xf>
    <xf numFmtId="0" fontId="42" fillId="48" borderId="20" xfId="1" applyNumberFormat="1" applyFont="1" applyFill="1" applyBorder="1" applyAlignment="1">
      <alignment horizontal="right" vertical="top"/>
    </xf>
    <xf numFmtId="167" fontId="42" fillId="48" borderId="4" xfId="4" applyNumberFormat="1" applyFont="1" applyFill="1" applyBorder="1" applyAlignment="1">
      <alignment horizontal="right" vertical="top"/>
    </xf>
    <xf numFmtId="167" fontId="42" fillId="48" borderId="16" xfId="4" applyNumberFormat="1" applyFont="1" applyFill="1" applyBorder="1" applyAlignment="1">
      <alignment horizontal="right" vertical="top"/>
    </xf>
    <xf numFmtId="167" fontId="45" fillId="47" borderId="30" xfId="4" applyNumberFormat="1" applyFont="1" applyFill="1" applyBorder="1" applyAlignment="1">
      <alignment horizontal="right" vertical="top"/>
    </xf>
    <xf numFmtId="167" fontId="45" fillId="47" borderId="31" xfId="4" applyNumberFormat="1" applyFont="1" applyFill="1" applyBorder="1" applyAlignment="1">
      <alignment horizontal="right" vertical="top"/>
    </xf>
    <xf numFmtId="167" fontId="45" fillId="47" borderId="30" xfId="4" applyNumberFormat="1" applyFont="1" applyFill="1" applyBorder="1" applyAlignment="1">
      <alignment horizontal="center" vertical="top"/>
    </xf>
    <xf numFmtId="167" fontId="45" fillId="47" borderId="31" xfId="4" applyNumberFormat="1" applyFont="1" applyFill="1" applyBorder="1" applyAlignment="1">
      <alignment horizontal="center" vertical="top"/>
    </xf>
    <xf numFmtId="0" fontId="45" fillId="48" borderId="17" xfId="0" applyFont="1" applyFill="1" applyBorder="1" applyAlignment="1">
      <alignment horizontal="center"/>
    </xf>
    <xf numFmtId="0" fontId="45" fillId="48" borderId="4" xfId="0" applyFont="1" applyFill="1" applyBorder="1" applyAlignment="1">
      <alignment horizontal="center"/>
    </xf>
    <xf numFmtId="0" fontId="45" fillId="48" borderId="16" xfId="0" applyFont="1" applyFill="1" applyBorder="1" applyAlignment="1">
      <alignment horizontal="center"/>
    </xf>
    <xf numFmtId="0" fontId="42" fillId="48" borderId="14" xfId="0" applyFont="1" applyFill="1" applyBorder="1" applyAlignment="1">
      <alignment horizontal="left" wrapText="1"/>
    </xf>
    <xf numFmtId="0" fontId="42" fillId="48" borderId="0" xfId="0" applyFont="1" applyFill="1" applyBorder="1" applyAlignment="1">
      <alignment horizontal="left" wrapText="1"/>
    </xf>
    <xf numFmtId="0" fontId="42" fillId="48" borderId="25" xfId="0" applyFont="1" applyFill="1" applyBorder="1" applyAlignment="1">
      <alignment horizontal="left" wrapText="1"/>
    </xf>
    <xf numFmtId="0" fontId="42" fillId="48" borderId="12" xfId="0" applyFont="1" applyFill="1" applyBorder="1" applyAlignment="1">
      <alignment horizontal="left"/>
    </xf>
    <xf numFmtId="0" fontId="42" fillId="48" borderId="4" xfId="0" applyFont="1" applyFill="1" applyBorder="1" applyAlignment="1">
      <alignment horizontal="left"/>
    </xf>
    <xf numFmtId="0" fontId="42" fillId="48" borderId="4" xfId="0" applyFont="1" applyFill="1" applyBorder="1" applyAlignment="1">
      <alignment horizontal="right"/>
    </xf>
    <xf numFmtId="0" fontId="42" fillId="48" borderId="16" xfId="0" applyFont="1" applyFill="1" applyBorder="1" applyAlignment="1">
      <alignment horizontal="right"/>
    </xf>
    <xf numFmtId="0" fontId="47" fillId="48" borderId="0" xfId="0" applyFont="1" applyFill="1" applyBorder="1" applyAlignment="1">
      <alignment horizontal="center" vertical="center" wrapText="1"/>
    </xf>
    <xf numFmtId="0" fontId="47" fillId="48" borderId="25" xfId="0" applyFont="1" applyFill="1" applyBorder="1" applyAlignment="1">
      <alignment horizontal="center" vertical="center" wrapText="1"/>
    </xf>
    <xf numFmtId="0" fontId="45" fillId="48" borderId="12" xfId="0" applyFont="1" applyFill="1" applyBorder="1" applyAlignment="1">
      <alignment horizontal="center" vertical="center" wrapText="1"/>
    </xf>
    <xf numFmtId="0" fontId="45" fillId="48" borderId="4" xfId="0" applyFont="1" applyFill="1" applyBorder="1" applyAlignment="1">
      <alignment horizontal="center" vertical="center" wrapText="1"/>
    </xf>
    <xf numFmtId="0" fontId="45" fillId="48" borderId="16" xfId="0" applyFont="1" applyFill="1" applyBorder="1" applyAlignment="1">
      <alignment horizontal="center" vertical="center" wrapText="1"/>
    </xf>
    <xf numFmtId="0" fontId="45" fillId="48" borderId="0" xfId="0" applyFont="1" applyFill="1" applyBorder="1" applyAlignment="1">
      <alignment horizontal="left" vertical="center" wrapText="1"/>
    </xf>
    <xf numFmtId="0" fontId="42" fillId="48" borderId="12" xfId="0" applyFont="1" applyFill="1" applyBorder="1" applyAlignment="1">
      <alignment horizontal="right"/>
    </xf>
    <xf numFmtId="0" fontId="45" fillId="48" borderId="5" xfId="0" applyFont="1" applyFill="1" applyBorder="1" applyAlignment="1">
      <alignment horizontal="center" vertical="center"/>
    </xf>
    <xf numFmtId="0" fontId="44" fillId="48" borderId="14" xfId="0" applyFont="1" applyFill="1" applyBorder="1" applyAlignment="1">
      <alignment horizontal="center" wrapText="1"/>
    </xf>
    <xf numFmtId="0" fontId="44" fillId="48" borderId="0" xfId="0" applyFont="1" applyFill="1" applyBorder="1" applyAlignment="1">
      <alignment horizontal="center" wrapText="1"/>
    </xf>
    <xf numFmtId="0" fontId="44" fillId="48" borderId="25" xfId="0" applyFont="1" applyFill="1" applyBorder="1" applyAlignment="1">
      <alignment horizontal="center" wrapText="1"/>
    </xf>
    <xf numFmtId="0" fontId="48" fillId="48" borderId="17" xfId="0" applyFont="1" applyFill="1" applyBorder="1" applyAlignment="1">
      <alignment horizontal="center" vertical="center"/>
    </xf>
    <xf numFmtId="0" fontId="48" fillId="48" borderId="15" xfId="0" applyFont="1" applyFill="1" applyBorder="1" applyAlignment="1">
      <alignment horizontal="center" vertical="center"/>
    </xf>
    <xf numFmtId="0" fontId="42" fillId="48" borderId="3" xfId="0" applyFont="1" applyFill="1" applyBorder="1" applyAlignment="1">
      <alignment horizontal="right" vertical="center"/>
    </xf>
    <xf numFmtId="0" fontId="42" fillId="48" borderId="28" xfId="0" applyFont="1" applyFill="1" applyBorder="1" applyAlignment="1">
      <alignment horizontal="right" vertical="center"/>
    </xf>
    <xf numFmtId="0" fontId="21" fillId="48" borderId="15" xfId="0" applyFont="1" applyFill="1" applyBorder="1" applyAlignment="1">
      <alignment horizontal="left" vertical="top" wrapText="1" indent="3"/>
    </xf>
    <xf numFmtId="0" fontId="21" fillId="48" borderId="3" xfId="0" applyFont="1" applyFill="1" applyBorder="1" applyAlignment="1">
      <alignment horizontal="left" vertical="top" wrapText="1" indent="3"/>
    </xf>
    <xf numFmtId="0" fontId="48" fillId="48" borderId="14" xfId="0" applyFont="1" applyFill="1" applyBorder="1" applyAlignment="1">
      <alignment horizontal="left" vertical="top" wrapText="1" indent="3"/>
    </xf>
    <xf numFmtId="0" fontId="48" fillId="48" borderId="0" xfId="0" applyFont="1" applyFill="1" applyBorder="1" applyAlignment="1">
      <alignment horizontal="left" vertical="top" wrapText="1" indent="3"/>
    </xf>
    <xf numFmtId="0" fontId="48" fillId="48" borderId="25" xfId="0" applyFont="1" applyFill="1" applyBorder="1" applyAlignment="1">
      <alignment horizontal="left" vertical="top" wrapText="1" indent="3"/>
    </xf>
    <xf numFmtId="0" fontId="42" fillId="48" borderId="16" xfId="0" applyFont="1" applyFill="1" applyBorder="1" applyAlignment="1">
      <alignment horizontal="left"/>
    </xf>
    <xf numFmtId="0" fontId="22" fillId="47" borderId="17" xfId="2" applyFont="1" applyFill="1" applyBorder="1" applyAlignment="1" applyProtection="1">
      <alignment horizontal="center" vertical="center"/>
    </xf>
    <xf numFmtId="0" fontId="22" fillId="47" borderId="5" xfId="2" applyFont="1" applyFill="1" applyBorder="1" applyAlignment="1" applyProtection="1">
      <alignment horizontal="center" vertical="center"/>
    </xf>
    <xf numFmtId="0" fontId="22" fillId="47" borderId="20" xfId="2" applyFont="1" applyFill="1" applyBorder="1" applyAlignment="1" applyProtection="1">
      <alignment horizontal="center" vertical="center"/>
    </xf>
    <xf numFmtId="0" fontId="22" fillId="47" borderId="14" xfId="2" applyFont="1" applyFill="1" applyBorder="1" applyAlignment="1" applyProtection="1">
      <alignment horizontal="center" vertical="center"/>
    </xf>
    <xf numFmtId="0" fontId="22" fillId="47" borderId="0" xfId="2" applyFont="1" applyFill="1" applyBorder="1" applyAlignment="1" applyProtection="1">
      <alignment horizontal="center" vertical="center"/>
    </xf>
    <xf numFmtId="0" fontId="22" fillId="47" borderId="25" xfId="2" applyFont="1" applyFill="1" applyBorder="1" applyAlignment="1" applyProtection="1">
      <alignment horizontal="center" vertical="center"/>
    </xf>
    <xf numFmtId="0" fontId="22" fillId="47" borderId="15" xfId="2" applyFont="1" applyFill="1" applyBorder="1" applyAlignment="1" applyProtection="1">
      <alignment horizontal="center" vertical="center"/>
    </xf>
    <xf numFmtId="0" fontId="22" fillId="47" borderId="3" xfId="2" applyFont="1" applyFill="1" applyBorder="1" applyAlignment="1" applyProtection="1">
      <alignment horizontal="center" vertical="center"/>
    </xf>
    <xf numFmtId="0" fontId="22" fillId="47" borderId="28" xfId="2" applyFont="1" applyFill="1" applyBorder="1" applyAlignment="1" applyProtection="1">
      <alignment horizontal="center" vertical="center"/>
    </xf>
    <xf numFmtId="0" fontId="22" fillId="47" borderId="12" xfId="2" applyFont="1" applyFill="1" applyBorder="1" applyAlignment="1" applyProtection="1">
      <alignment horizontal="center" vertical="center"/>
    </xf>
    <xf numFmtId="0" fontId="22" fillId="47" borderId="4" xfId="2" applyFont="1" applyFill="1" applyBorder="1" applyAlignment="1" applyProtection="1">
      <alignment horizontal="center" vertical="center"/>
    </xf>
    <xf numFmtId="0" fontId="22" fillId="47" borderId="16" xfId="2" applyFont="1" applyFill="1" applyBorder="1" applyAlignment="1" applyProtection="1">
      <alignment horizontal="center" vertical="center"/>
    </xf>
    <xf numFmtId="0" fontId="22" fillId="47" borderId="12" xfId="2" applyFont="1" applyFill="1" applyBorder="1" applyAlignment="1" applyProtection="1">
      <alignment horizontal="center" vertical="center" wrapText="1"/>
    </xf>
    <xf numFmtId="0" fontId="22" fillId="47" borderId="4" xfId="2" applyFont="1" applyFill="1" applyBorder="1" applyAlignment="1" applyProtection="1">
      <alignment horizontal="center" vertical="center" wrapText="1"/>
    </xf>
    <xf numFmtId="0" fontId="22" fillId="47" borderId="16" xfId="2" applyFont="1" applyFill="1" applyBorder="1" applyAlignment="1" applyProtection="1">
      <alignment horizontal="center" vertical="center" wrapText="1"/>
    </xf>
  </cellXfs>
  <cellStyles count="670">
    <cellStyle name="20% - Énfasis1" xfId="646" builtinId="30" customBuiltin="1"/>
    <cellStyle name="20% - Énfasis2" xfId="650" builtinId="34" customBuiltin="1"/>
    <cellStyle name="20% - Énfasis3" xfId="654" builtinId="38" customBuiltin="1"/>
    <cellStyle name="20% - Énfasis4" xfId="658" builtinId="42" customBuiltin="1"/>
    <cellStyle name="20% - Énfasis5" xfId="662" builtinId="46" customBuiltin="1"/>
    <cellStyle name="20% - Énfasis6" xfId="666" builtinId="50" customBuiltin="1"/>
    <cellStyle name="40% - Énfasis1" xfId="647" builtinId="31" customBuiltin="1"/>
    <cellStyle name="40% - Énfasis2" xfId="651" builtinId="35" customBuiltin="1"/>
    <cellStyle name="40% - Énfasis3" xfId="655" builtinId="39" customBuiltin="1"/>
    <cellStyle name="40% - Énfasis4" xfId="659" builtinId="43" customBuiltin="1"/>
    <cellStyle name="40% - Énfasis5" xfId="663" builtinId="47" customBuiltin="1"/>
    <cellStyle name="40% - Énfasis6" xfId="667" builtinId="51" customBuiltin="1"/>
    <cellStyle name="60% - Énfasis1" xfId="648" builtinId="32" customBuiltin="1"/>
    <cellStyle name="60% - Énfasis2" xfId="652" builtinId="36" customBuiltin="1"/>
    <cellStyle name="60% - Énfasis3" xfId="656" builtinId="40" customBuiltin="1"/>
    <cellStyle name="60% - Énfasis4" xfId="660" builtinId="44" customBuiltin="1"/>
    <cellStyle name="60% - Énfasis5" xfId="664" builtinId="48" customBuiltin="1"/>
    <cellStyle name="60% - Énfasis6" xfId="668" builtinId="52" customBuiltin="1"/>
    <cellStyle name="Buena" xfId="633" builtinId="26" customBuiltin="1"/>
    <cellStyle name="Cálculo" xfId="638" builtinId="22" customBuiltin="1"/>
    <cellStyle name="Celda de comprobación" xfId="640" builtinId="23" customBuiltin="1"/>
    <cellStyle name="Celda vinculada" xfId="639" builtinId="24" customBuiltin="1"/>
    <cellStyle name="Encabezado 1" xfId="629" builtinId="16" customBuiltin="1"/>
    <cellStyle name="Encabezado 4" xfId="632" builtinId="19" customBuiltin="1"/>
    <cellStyle name="Énfasis1" xfId="645" builtinId="29" customBuiltin="1"/>
    <cellStyle name="Énfasis2" xfId="649" builtinId="33" customBuiltin="1"/>
    <cellStyle name="Énfasis3" xfId="653" builtinId="37" customBuiltin="1"/>
    <cellStyle name="Énfasis4" xfId="657" builtinId="41" customBuiltin="1"/>
    <cellStyle name="Énfasis5" xfId="661" builtinId="45" customBuiltin="1"/>
    <cellStyle name="Énfasis6" xfId="665" builtinId="49" customBuiltin="1"/>
    <cellStyle name="Entrada" xfId="636" builtinId="20" customBuiltin="1"/>
    <cellStyle name="Hipervínculo" xfId="5" builtinId="8"/>
    <cellStyle name="Incorrecto" xfId="634" builtinId="27" customBuiltin="1"/>
    <cellStyle name="Millares" xfId="4" builtinId="3"/>
    <cellStyle name="Millares 2" xfId="7"/>
    <cellStyle name="Millares 2 2" xfId="624"/>
    <cellStyle name="Millares 3" xfId="6"/>
    <cellStyle name="Neutral" xfId="635" builtinId="28" customBuiltin="1"/>
    <cellStyle name="Normal" xfId="0" builtinId="0"/>
    <cellStyle name="Normal 10" xfId="15"/>
    <cellStyle name="Normal 10 10" xfId="16"/>
    <cellStyle name="Normal 10 11" xfId="17"/>
    <cellStyle name="Normal 10 12" xfId="18"/>
    <cellStyle name="Normal 10 13" xfId="19"/>
    <cellStyle name="Normal 10 14" xfId="20"/>
    <cellStyle name="Normal 10 15" xfId="21"/>
    <cellStyle name="Normal 10 16" xfId="22"/>
    <cellStyle name="Normal 10 17" xfId="23"/>
    <cellStyle name="Normal 10 18" xfId="24"/>
    <cellStyle name="Normal 10 19" xfId="25"/>
    <cellStyle name="Normal 10 2" xfId="26"/>
    <cellStyle name="Normal 10 20" xfId="27"/>
    <cellStyle name="Normal 10 3" xfId="28"/>
    <cellStyle name="Normal 10 4" xfId="29"/>
    <cellStyle name="Normal 10 5" xfId="30"/>
    <cellStyle name="Normal 10 6" xfId="31"/>
    <cellStyle name="Normal 10 7" xfId="32"/>
    <cellStyle name="Normal 10 8" xfId="33"/>
    <cellStyle name="Normal 10 9" xfId="34"/>
    <cellStyle name="Normal 11" xfId="35"/>
    <cellStyle name="Normal 11 10" xfId="36"/>
    <cellStyle name="Normal 11 11" xfId="37"/>
    <cellStyle name="Normal 11 12" xfId="38"/>
    <cellStyle name="Normal 11 13" xfId="39"/>
    <cellStyle name="Normal 11 14" xfId="40"/>
    <cellStyle name="Normal 11 15" xfId="41"/>
    <cellStyle name="Normal 11 16" xfId="42"/>
    <cellStyle name="Normal 11 17" xfId="43"/>
    <cellStyle name="Normal 11 18" xfId="44"/>
    <cellStyle name="Normal 11 19" xfId="45"/>
    <cellStyle name="Normal 11 2" xfId="46"/>
    <cellStyle name="Normal 11 20" xfId="47"/>
    <cellStyle name="Normal 11 3" xfId="48"/>
    <cellStyle name="Normal 11 4" xfId="49"/>
    <cellStyle name="Normal 11 5" xfId="50"/>
    <cellStyle name="Normal 11 6" xfId="51"/>
    <cellStyle name="Normal 11 7" xfId="52"/>
    <cellStyle name="Normal 11 8" xfId="53"/>
    <cellStyle name="Normal 11 9" xfId="54"/>
    <cellStyle name="Normal 12" xfId="55"/>
    <cellStyle name="Normal 12 10" xfId="56"/>
    <cellStyle name="Normal 12 11" xfId="57"/>
    <cellStyle name="Normal 12 12" xfId="58"/>
    <cellStyle name="Normal 12 13" xfId="59"/>
    <cellStyle name="Normal 12 14" xfId="60"/>
    <cellStyle name="Normal 12 15" xfId="61"/>
    <cellStyle name="Normal 12 16" xfId="62"/>
    <cellStyle name="Normal 12 17" xfId="63"/>
    <cellStyle name="Normal 12 18" xfId="64"/>
    <cellStyle name="Normal 12 19" xfId="65"/>
    <cellStyle name="Normal 12 2" xfId="66"/>
    <cellStyle name="Normal 12 20" xfId="67"/>
    <cellStyle name="Normal 12 3" xfId="68"/>
    <cellStyle name="Normal 12 4" xfId="69"/>
    <cellStyle name="Normal 12 5" xfId="70"/>
    <cellStyle name="Normal 12 6" xfId="71"/>
    <cellStyle name="Normal 12 7" xfId="72"/>
    <cellStyle name="Normal 12 8" xfId="73"/>
    <cellStyle name="Normal 12 9" xfId="74"/>
    <cellStyle name="Normal 13" xfId="669"/>
    <cellStyle name="Normal 15" xfId="75"/>
    <cellStyle name="Normal 15 10" xfId="76"/>
    <cellStyle name="Normal 15 11" xfId="77"/>
    <cellStyle name="Normal 15 12" xfId="78"/>
    <cellStyle name="Normal 15 13" xfId="79"/>
    <cellStyle name="Normal 15 14" xfId="80"/>
    <cellStyle name="Normal 15 15" xfId="81"/>
    <cellStyle name="Normal 15 16" xfId="82"/>
    <cellStyle name="Normal 15 17" xfId="83"/>
    <cellStyle name="Normal 15 18" xfId="84"/>
    <cellStyle name="Normal 15 19" xfId="85"/>
    <cellStyle name="Normal 15 2" xfId="86"/>
    <cellStyle name="Normal 15 20" xfId="87"/>
    <cellStyle name="Normal 15 3" xfId="88"/>
    <cellStyle name="Normal 15 4" xfId="89"/>
    <cellStyle name="Normal 15 5" xfId="90"/>
    <cellStyle name="Normal 15 6" xfId="91"/>
    <cellStyle name="Normal 15 7" xfId="92"/>
    <cellStyle name="Normal 15 8" xfId="93"/>
    <cellStyle name="Normal 15 9" xfId="94"/>
    <cellStyle name="Normal 16" xfId="95"/>
    <cellStyle name="Normal 16 10" xfId="96"/>
    <cellStyle name="Normal 16 11" xfId="97"/>
    <cellStyle name="Normal 16 12" xfId="98"/>
    <cellStyle name="Normal 16 13" xfId="99"/>
    <cellStyle name="Normal 16 14" xfId="100"/>
    <cellStyle name="Normal 16 15" xfId="101"/>
    <cellStyle name="Normal 16 16" xfId="102"/>
    <cellStyle name="Normal 16 17" xfId="103"/>
    <cellStyle name="Normal 16 18" xfId="104"/>
    <cellStyle name="Normal 16 19" xfId="105"/>
    <cellStyle name="Normal 16 2" xfId="106"/>
    <cellStyle name="Normal 16 20" xfId="107"/>
    <cellStyle name="Normal 16 3" xfId="108"/>
    <cellStyle name="Normal 16 4" xfId="109"/>
    <cellStyle name="Normal 16 5" xfId="110"/>
    <cellStyle name="Normal 16 6" xfId="111"/>
    <cellStyle name="Normal 16 7" xfId="112"/>
    <cellStyle name="Normal 16 8" xfId="113"/>
    <cellStyle name="Normal 16 9" xfId="114"/>
    <cellStyle name="Normal 18" xfId="115"/>
    <cellStyle name="Normal 18 10" xfId="116"/>
    <cellStyle name="Normal 18 11" xfId="117"/>
    <cellStyle name="Normal 18 12" xfId="118"/>
    <cellStyle name="Normal 18 13" xfId="119"/>
    <cellStyle name="Normal 18 14" xfId="120"/>
    <cellStyle name="Normal 18 15" xfId="121"/>
    <cellStyle name="Normal 18 16" xfId="122"/>
    <cellStyle name="Normal 18 17" xfId="123"/>
    <cellStyle name="Normal 18 18" xfId="124"/>
    <cellStyle name="Normal 18 19" xfId="125"/>
    <cellStyle name="Normal 18 2" xfId="126"/>
    <cellStyle name="Normal 18 20" xfId="127"/>
    <cellStyle name="Normal 18 3" xfId="128"/>
    <cellStyle name="Normal 18 4" xfId="129"/>
    <cellStyle name="Normal 18 5" xfId="130"/>
    <cellStyle name="Normal 18 6" xfId="131"/>
    <cellStyle name="Normal 18 7" xfId="132"/>
    <cellStyle name="Normal 18 8" xfId="133"/>
    <cellStyle name="Normal 18 9" xfId="134"/>
    <cellStyle name="Normal 19" xfId="135"/>
    <cellStyle name="Normal 19 10" xfId="136"/>
    <cellStyle name="Normal 19 11" xfId="137"/>
    <cellStyle name="Normal 19 12" xfId="138"/>
    <cellStyle name="Normal 19 13" xfId="139"/>
    <cellStyle name="Normal 19 14" xfId="140"/>
    <cellStyle name="Normal 19 15" xfId="141"/>
    <cellStyle name="Normal 19 16" xfId="142"/>
    <cellStyle name="Normal 19 17" xfId="143"/>
    <cellStyle name="Normal 19 18" xfId="144"/>
    <cellStyle name="Normal 19 19" xfId="145"/>
    <cellStyle name="Normal 19 2" xfId="146"/>
    <cellStyle name="Normal 19 20" xfId="147"/>
    <cellStyle name="Normal 19 3" xfId="148"/>
    <cellStyle name="Normal 19 4" xfId="149"/>
    <cellStyle name="Normal 19 5" xfId="150"/>
    <cellStyle name="Normal 19 6" xfId="151"/>
    <cellStyle name="Normal 19 7" xfId="152"/>
    <cellStyle name="Normal 19 8" xfId="153"/>
    <cellStyle name="Normal 19 9" xfId="154"/>
    <cellStyle name="Normal 2" xfId="2"/>
    <cellStyle name="Normal 2 10" xfId="155"/>
    <cellStyle name="Normal 2 10 10" xfId="156"/>
    <cellStyle name="Normal 2 10 11" xfId="157"/>
    <cellStyle name="Normal 2 10 12" xfId="158"/>
    <cellStyle name="Normal 2 10 13" xfId="159"/>
    <cellStyle name="Normal 2 10 14" xfId="160"/>
    <cellStyle name="Normal 2 10 15" xfId="161"/>
    <cellStyle name="Normal 2 10 16" xfId="162"/>
    <cellStyle name="Normal 2 10 17" xfId="163"/>
    <cellStyle name="Normal 2 10 18" xfId="164"/>
    <cellStyle name="Normal 2 10 19" xfId="165"/>
    <cellStyle name="Normal 2 10 2" xfId="166"/>
    <cellStyle name="Normal 2 10 20" xfId="167"/>
    <cellStyle name="Normal 2 10 3" xfId="168"/>
    <cellStyle name="Normal 2 10 4" xfId="169"/>
    <cellStyle name="Normal 2 10 5" xfId="170"/>
    <cellStyle name="Normal 2 10 6" xfId="171"/>
    <cellStyle name="Normal 2 10 7" xfId="172"/>
    <cellStyle name="Normal 2 10 8" xfId="173"/>
    <cellStyle name="Normal 2 10 9" xfId="174"/>
    <cellStyle name="Normal 2 11" xfId="175"/>
    <cellStyle name="Normal 2 11 10" xfId="176"/>
    <cellStyle name="Normal 2 11 11" xfId="177"/>
    <cellStyle name="Normal 2 11 12" xfId="178"/>
    <cellStyle name="Normal 2 11 13" xfId="179"/>
    <cellStyle name="Normal 2 11 14" xfId="180"/>
    <cellStyle name="Normal 2 11 15" xfId="181"/>
    <cellStyle name="Normal 2 11 16" xfId="182"/>
    <cellStyle name="Normal 2 11 17" xfId="183"/>
    <cellStyle name="Normal 2 11 18" xfId="184"/>
    <cellStyle name="Normal 2 11 19" xfId="185"/>
    <cellStyle name="Normal 2 11 2" xfId="186"/>
    <cellStyle name="Normal 2 11 20" xfId="187"/>
    <cellStyle name="Normal 2 11 3" xfId="188"/>
    <cellStyle name="Normal 2 11 4" xfId="189"/>
    <cellStyle name="Normal 2 11 5" xfId="190"/>
    <cellStyle name="Normal 2 11 6" xfId="191"/>
    <cellStyle name="Normal 2 11 7" xfId="192"/>
    <cellStyle name="Normal 2 11 8" xfId="193"/>
    <cellStyle name="Normal 2 11 9" xfId="194"/>
    <cellStyle name="Normal 2 12" xfId="195"/>
    <cellStyle name="Normal 2 12 10" xfId="196"/>
    <cellStyle name="Normal 2 12 11" xfId="197"/>
    <cellStyle name="Normal 2 12 12" xfId="198"/>
    <cellStyle name="Normal 2 12 13" xfId="199"/>
    <cellStyle name="Normal 2 12 14" xfId="200"/>
    <cellStyle name="Normal 2 12 15" xfId="201"/>
    <cellStyle name="Normal 2 12 16" xfId="202"/>
    <cellStyle name="Normal 2 12 17" xfId="203"/>
    <cellStyle name="Normal 2 12 18" xfId="204"/>
    <cellStyle name="Normal 2 12 19" xfId="205"/>
    <cellStyle name="Normal 2 12 2" xfId="206"/>
    <cellStyle name="Normal 2 12 20" xfId="207"/>
    <cellStyle name="Normal 2 12 3" xfId="208"/>
    <cellStyle name="Normal 2 12 4" xfId="209"/>
    <cellStyle name="Normal 2 12 5" xfId="210"/>
    <cellStyle name="Normal 2 12 6" xfId="211"/>
    <cellStyle name="Normal 2 12 7" xfId="212"/>
    <cellStyle name="Normal 2 12 8" xfId="213"/>
    <cellStyle name="Normal 2 12 9" xfId="214"/>
    <cellStyle name="Normal 2 13" xfId="215"/>
    <cellStyle name="Normal 2 13 10" xfId="216"/>
    <cellStyle name="Normal 2 13 11" xfId="217"/>
    <cellStyle name="Normal 2 13 12" xfId="218"/>
    <cellStyle name="Normal 2 13 13" xfId="219"/>
    <cellStyle name="Normal 2 13 14" xfId="220"/>
    <cellStyle name="Normal 2 13 15" xfId="221"/>
    <cellStyle name="Normal 2 13 16" xfId="222"/>
    <cellStyle name="Normal 2 13 17" xfId="223"/>
    <cellStyle name="Normal 2 13 18" xfId="224"/>
    <cellStyle name="Normal 2 13 19" xfId="225"/>
    <cellStyle name="Normal 2 13 2" xfId="226"/>
    <cellStyle name="Normal 2 13 20" xfId="227"/>
    <cellStyle name="Normal 2 13 3" xfId="228"/>
    <cellStyle name="Normal 2 13 4" xfId="229"/>
    <cellStyle name="Normal 2 13 5" xfId="230"/>
    <cellStyle name="Normal 2 13 6" xfId="231"/>
    <cellStyle name="Normal 2 13 7" xfId="232"/>
    <cellStyle name="Normal 2 13 8" xfId="233"/>
    <cellStyle name="Normal 2 13 9" xfId="234"/>
    <cellStyle name="Normal 2 14" xfId="235"/>
    <cellStyle name="Normal 2 14 10" xfId="236"/>
    <cellStyle name="Normal 2 14 11" xfId="237"/>
    <cellStyle name="Normal 2 14 12" xfId="238"/>
    <cellStyle name="Normal 2 14 13" xfId="239"/>
    <cellStyle name="Normal 2 14 14" xfId="240"/>
    <cellStyle name="Normal 2 14 15" xfId="241"/>
    <cellStyle name="Normal 2 14 16" xfId="242"/>
    <cellStyle name="Normal 2 14 17" xfId="243"/>
    <cellStyle name="Normal 2 14 18" xfId="244"/>
    <cellStyle name="Normal 2 14 19" xfId="245"/>
    <cellStyle name="Normal 2 14 2" xfId="246"/>
    <cellStyle name="Normal 2 14 20" xfId="247"/>
    <cellStyle name="Normal 2 14 3" xfId="248"/>
    <cellStyle name="Normal 2 14 4" xfId="249"/>
    <cellStyle name="Normal 2 14 5" xfId="250"/>
    <cellStyle name="Normal 2 14 6" xfId="251"/>
    <cellStyle name="Normal 2 14 7" xfId="252"/>
    <cellStyle name="Normal 2 14 8" xfId="253"/>
    <cellStyle name="Normal 2 14 9" xfId="254"/>
    <cellStyle name="Normal 2 15" xfId="255"/>
    <cellStyle name="Normal 2 15 10" xfId="256"/>
    <cellStyle name="Normal 2 15 11" xfId="257"/>
    <cellStyle name="Normal 2 15 12" xfId="258"/>
    <cellStyle name="Normal 2 15 13" xfId="259"/>
    <cellStyle name="Normal 2 15 14" xfId="260"/>
    <cellStyle name="Normal 2 15 15" xfId="261"/>
    <cellStyle name="Normal 2 15 16" xfId="262"/>
    <cellStyle name="Normal 2 15 17" xfId="263"/>
    <cellStyle name="Normal 2 15 18" xfId="264"/>
    <cellStyle name="Normal 2 15 19" xfId="265"/>
    <cellStyle name="Normal 2 15 2" xfId="266"/>
    <cellStyle name="Normal 2 15 20" xfId="267"/>
    <cellStyle name="Normal 2 15 3" xfId="268"/>
    <cellStyle name="Normal 2 15 4" xfId="269"/>
    <cellStyle name="Normal 2 15 5" xfId="270"/>
    <cellStyle name="Normal 2 15 6" xfId="271"/>
    <cellStyle name="Normal 2 15 7" xfId="272"/>
    <cellStyle name="Normal 2 15 8" xfId="273"/>
    <cellStyle name="Normal 2 15 9" xfId="274"/>
    <cellStyle name="Normal 2 16" xfId="275"/>
    <cellStyle name="Normal 2 16 10" xfId="276"/>
    <cellStyle name="Normal 2 16 11" xfId="277"/>
    <cellStyle name="Normal 2 16 12" xfId="278"/>
    <cellStyle name="Normal 2 16 13" xfId="279"/>
    <cellStyle name="Normal 2 16 14" xfId="280"/>
    <cellStyle name="Normal 2 16 15" xfId="281"/>
    <cellStyle name="Normal 2 16 16" xfId="282"/>
    <cellStyle name="Normal 2 16 17" xfId="283"/>
    <cellStyle name="Normal 2 16 18" xfId="284"/>
    <cellStyle name="Normal 2 16 19" xfId="285"/>
    <cellStyle name="Normal 2 16 2" xfId="286"/>
    <cellStyle name="Normal 2 16 20" xfId="287"/>
    <cellStyle name="Normal 2 16 3" xfId="288"/>
    <cellStyle name="Normal 2 16 4" xfId="289"/>
    <cellStyle name="Normal 2 16 5" xfId="290"/>
    <cellStyle name="Normal 2 16 6" xfId="291"/>
    <cellStyle name="Normal 2 16 7" xfId="292"/>
    <cellStyle name="Normal 2 16 8" xfId="293"/>
    <cellStyle name="Normal 2 16 9" xfId="294"/>
    <cellStyle name="Normal 2 17" xfId="295"/>
    <cellStyle name="Normal 2 17 10" xfId="296"/>
    <cellStyle name="Normal 2 17 11" xfId="297"/>
    <cellStyle name="Normal 2 17 12" xfId="298"/>
    <cellStyle name="Normal 2 17 13" xfId="299"/>
    <cellStyle name="Normal 2 17 14" xfId="300"/>
    <cellStyle name="Normal 2 17 15" xfId="301"/>
    <cellStyle name="Normal 2 17 16" xfId="302"/>
    <cellStyle name="Normal 2 17 17" xfId="303"/>
    <cellStyle name="Normal 2 17 18" xfId="304"/>
    <cellStyle name="Normal 2 17 19" xfId="305"/>
    <cellStyle name="Normal 2 17 2" xfId="306"/>
    <cellStyle name="Normal 2 17 20" xfId="307"/>
    <cellStyle name="Normal 2 17 3" xfId="308"/>
    <cellStyle name="Normal 2 17 4" xfId="309"/>
    <cellStyle name="Normal 2 17 5" xfId="310"/>
    <cellStyle name="Normal 2 17 6" xfId="311"/>
    <cellStyle name="Normal 2 17 7" xfId="312"/>
    <cellStyle name="Normal 2 17 8" xfId="313"/>
    <cellStyle name="Normal 2 17 9" xfId="314"/>
    <cellStyle name="Normal 2 18" xfId="315"/>
    <cellStyle name="Normal 2 19" xfId="316"/>
    <cellStyle name="Normal 2 2" xfId="3"/>
    <cellStyle name="Normal 2 2 10" xfId="317"/>
    <cellStyle name="Normal 2 2 11" xfId="318"/>
    <cellStyle name="Normal 2 2 12" xfId="319"/>
    <cellStyle name="Normal 2 2 13" xfId="320"/>
    <cellStyle name="Normal 2 2 14" xfId="321"/>
    <cellStyle name="Normal 2 2 15" xfId="322"/>
    <cellStyle name="Normal 2 2 16" xfId="323"/>
    <cellStyle name="Normal 2 2 17" xfId="324"/>
    <cellStyle name="Normal 2 2 18" xfId="325"/>
    <cellStyle name="Normal 2 2 19" xfId="326"/>
    <cellStyle name="Normal 2 2 2" xfId="327"/>
    <cellStyle name="Normal 2 2 20" xfId="328"/>
    <cellStyle name="Normal 2 2 21" xfId="329"/>
    <cellStyle name="Normal 2 2 21 2" xfId="330"/>
    <cellStyle name="Normal 2 2 3" xfId="331"/>
    <cellStyle name="Normal 2 2 4" xfId="332"/>
    <cellStyle name="Normal 2 2 5" xfId="333"/>
    <cellStyle name="Normal 2 2 6" xfId="334"/>
    <cellStyle name="Normal 2 2 7" xfId="335"/>
    <cellStyle name="Normal 2 2 8" xfId="336"/>
    <cellStyle name="Normal 2 2 9" xfId="337"/>
    <cellStyle name="Normal 2 20" xfId="338"/>
    <cellStyle name="Normal 2 21" xfId="339"/>
    <cellStyle name="Normal 2 22" xfId="340"/>
    <cellStyle name="Normal 2 23" xfId="341"/>
    <cellStyle name="Normal 2 24" xfId="342"/>
    <cellStyle name="Normal 2 25" xfId="343"/>
    <cellStyle name="Normal 2 26" xfId="344"/>
    <cellStyle name="Normal 2 27" xfId="345"/>
    <cellStyle name="Normal 2 28" xfId="346"/>
    <cellStyle name="Normal 2 29" xfId="347"/>
    <cellStyle name="Normal 2 3" xfId="348"/>
    <cellStyle name="Normal 2 3 10" xfId="349"/>
    <cellStyle name="Normal 2 3 11" xfId="350"/>
    <cellStyle name="Normal 2 3 12" xfId="351"/>
    <cellStyle name="Normal 2 3 13" xfId="352"/>
    <cellStyle name="Normal 2 3 14" xfId="353"/>
    <cellStyle name="Normal 2 3 15" xfId="354"/>
    <cellStyle name="Normal 2 3 16" xfId="355"/>
    <cellStyle name="Normal 2 3 17" xfId="356"/>
    <cellStyle name="Normal 2 3 18" xfId="357"/>
    <cellStyle name="Normal 2 3 19" xfId="358"/>
    <cellStyle name="Normal 2 3 2" xfId="359"/>
    <cellStyle name="Normal 2 3 20" xfId="360"/>
    <cellStyle name="Normal 2 3 3" xfId="361"/>
    <cellStyle name="Normal 2 3 4" xfId="362"/>
    <cellStyle name="Normal 2 3 5" xfId="363"/>
    <cellStyle name="Normal 2 3 6" xfId="364"/>
    <cellStyle name="Normal 2 3 7" xfId="365"/>
    <cellStyle name="Normal 2 3 8" xfId="366"/>
    <cellStyle name="Normal 2 3 9" xfId="367"/>
    <cellStyle name="Normal 2 30" xfId="368"/>
    <cellStyle name="Normal 2 31" xfId="369"/>
    <cellStyle name="Normal 2 32" xfId="370"/>
    <cellStyle name="Normal 2 33" xfId="371"/>
    <cellStyle name="Normal 2 34" xfId="372"/>
    <cellStyle name="Normal 2 35" xfId="373"/>
    <cellStyle name="Normal 2 36" xfId="374"/>
    <cellStyle name="Normal 2 37" xfId="375"/>
    <cellStyle name="Normal 2 38" xfId="376"/>
    <cellStyle name="Normal 2 38 2" xfId="377"/>
    <cellStyle name="Normal 2 39" xfId="378"/>
    <cellStyle name="Normal 2 4" xfId="379"/>
    <cellStyle name="Normal 2 4 10" xfId="380"/>
    <cellStyle name="Normal 2 4 11" xfId="381"/>
    <cellStyle name="Normal 2 4 12" xfId="382"/>
    <cellStyle name="Normal 2 4 13" xfId="383"/>
    <cellStyle name="Normal 2 4 14" xfId="384"/>
    <cellStyle name="Normal 2 4 15" xfId="385"/>
    <cellStyle name="Normal 2 4 16" xfId="386"/>
    <cellStyle name="Normal 2 4 17" xfId="387"/>
    <cellStyle name="Normal 2 4 18" xfId="388"/>
    <cellStyle name="Normal 2 4 19" xfId="389"/>
    <cellStyle name="Normal 2 4 2" xfId="390"/>
    <cellStyle name="Normal 2 4 20" xfId="391"/>
    <cellStyle name="Normal 2 4 3" xfId="392"/>
    <cellStyle name="Normal 2 4 4" xfId="393"/>
    <cellStyle name="Normal 2 4 5" xfId="394"/>
    <cellStyle name="Normal 2 4 6" xfId="395"/>
    <cellStyle name="Normal 2 4 7" xfId="396"/>
    <cellStyle name="Normal 2 4 8" xfId="397"/>
    <cellStyle name="Normal 2 4 9" xfId="398"/>
    <cellStyle name="Normal 2 40" xfId="623"/>
    <cellStyle name="Normal 2 40 2" xfId="627"/>
    <cellStyle name="Normal 2 5" xfId="399"/>
    <cellStyle name="Normal 2 5 10" xfId="400"/>
    <cellStyle name="Normal 2 5 11" xfId="401"/>
    <cellStyle name="Normal 2 5 12" xfId="402"/>
    <cellStyle name="Normal 2 5 13" xfId="403"/>
    <cellStyle name="Normal 2 5 14" xfId="404"/>
    <cellStyle name="Normal 2 5 15" xfId="405"/>
    <cellStyle name="Normal 2 5 16" xfId="406"/>
    <cellStyle name="Normal 2 5 17" xfId="407"/>
    <cellStyle name="Normal 2 5 18" xfId="408"/>
    <cellStyle name="Normal 2 5 19" xfId="409"/>
    <cellStyle name="Normal 2 5 2" xfId="410"/>
    <cellStyle name="Normal 2 5 20" xfId="411"/>
    <cellStyle name="Normal 2 5 3" xfId="412"/>
    <cellStyle name="Normal 2 5 4" xfId="413"/>
    <cellStyle name="Normal 2 5 5" xfId="414"/>
    <cellStyle name="Normal 2 5 6" xfId="415"/>
    <cellStyle name="Normal 2 5 7" xfId="416"/>
    <cellStyle name="Normal 2 5 8" xfId="417"/>
    <cellStyle name="Normal 2 5 9" xfId="418"/>
    <cellStyle name="Normal 2 6" xfId="419"/>
    <cellStyle name="Normal 2 6 10" xfId="420"/>
    <cellStyle name="Normal 2 6 11" xfId="421"/>
    <cellStyle name="Normal 2 6 12" xfId="422"/>
    <cellStyle name="Normal 2 6 13" xfId="423"/>
    <cellStyle name="Normal 2 6 14" xfId="424"/>
    <cellStyle name="Normal 2 6 15" xfId="425"/>
    <cellStyle name="Normal 2 6 16" xfId="426"/>
    <cellStyle name="Normal 2 6 17" xfId="427"/>
    <cellStyle name="Normal 2 6 18" xfId="428"/>
    <cellStyle name="Normal 2 6 19" xfId="429"/>
    <cellStyle name="Normal 2 6 2" xfId="430"/>
    <cellStyle name="Normal 2 6 20" xfId="431"/>
    <cellStyle name="Normal 2 6 3" xfId="432"/>
    <cellStyle name="Normal 2 6 4" xfId="433"/>
    <cellStyle name="Normal 2 6 5" xfId="434"/>
    <cellStyle name="Normal 2 6 6" xfId="435"/>
    <cellStyle name="Normal 2 6 7" xfId="436"/>
    <cellStyle name="Normal 2 6 8" xfId="437"/>
    <cellStyle name="Normal 2 6 9" xfId="438"/>
    <cellStyle name="Normal 2 7" xfId="439"/>
    <cellStyle name="Normal 2 7 10" xfId="440"/>
    <cellStyle name="Normal 2 7 11" xfId="441"/>
    <cellStyle name="Normal 2 7 12" xfId="442"/>
    <cellStyle name="Normal 2 7 13" xfId="443"/>
    <cellStyle name="Normal 2 7 14" xfId="444"/>
    <cellStyle name="Normal 2 7 15" xfId="445"/>
    <cellStyle name="Normal 2 7 16" xfId="446"/>
    <cellStyle name="Normal 2 7 17" xfId="447"/>
    <cellStyle name="Normal 2 7 18" xfId="448"/>
    <cellStyle name="Normal 2 7 19" xfId="449"/>
    <cellStyle name="Normal 2 7 2" xfId="450"/>
    <cellStyle name="Normal 2 7 20" xfId="451"/>
    <cellStyle name="Normal 2 7 3" xfId="452"/>
    <cellStyle name="Normal 2 7 4" xfId="453"/>
    <cellStyle name="Normal 2 7 5" xfId="454"/>
    <cellStyle name="Normal 2 7 6" xfId="455"/>
    <cellStyle name="Normal 2 7 7" xfId="456"/>
    <cellStyle name="Normal 2 7 8" xfId="457"/>
    <cellStyle name="Normal 2 7 9" xfId="458"/>
    <cellStyle name="Normal 2 8" xfId="459"/>
    <cellStyle name="Normal 2 8 10" xfId="460"/>
    <cellStyle name="Normal 2 8 11" xfId="461"/>
    <cellStyle name="Normal 2 8 12" xfId="462"/>
    <cellStyle name="Normal 2 8 13" xfId="463"/>
    <cellStyle name="Normal 2 8 14" xfId="464"/>
    <cellStyle name="Normal 2 8 15" xfId="465"/>
    <cellStyle name="Normal 2 8 16" xfId="466"/>
    <cellStyle name="Normal 2 8 17" xfId="467"/>
    <cellStyle name="Normal 2 8 18" xfId="468"/>
    <cellStyle name="Normal 2 8 19" xfId="469"/>
    <cellStyle name="Normal 2 8 2" xfId="470"/>
    <cellStyle name="Normal 2 8 20" xfId="471"/>
    <cellStyle name="Normal 2 8 3" xfId="472"/>
    <cellStyle name="Normal 2 8 4" xfId="473"/>
    <cellStyle name="Normal 2 8 5" xfId="474"/>
    <cellStyle name="Normal 2 8 6" xfId="475"/>
    <cellStyle name="Normal 2 8 7" xfId="476"/>
    <cellStyle name="Normal 2 8 8" xfId="477"/>
    <cellStyle name="Normal 2 8 9" xfId="478"/>
    <cellStyle name="Normal 2 9" xfId="479"/>
    <cellStyle name="Normal 2 9 10" xfId="480"/>
    <cellStyle name="Normal 2 9 11" xfId="481"/>
    <cellStyle name="Normal 2 9 12" xfId="482"/>
    <cellStyle name="Normal 2 9 13" xfId="483"/>
    <cellStyle name="Normal 2 9 14" xfId="484"/>
    <cellStyle name="Normal 2 9 15" xfId="485"/>
    <cellStyle name="Normal 2 9 16" xfId="486"/>
    <cellStyle name="Normal 2 9 17" xfId="487"/>
    <cellStyle name="Normal 2 9 18" xfId="488"/>
    <cellStyle name="Normal 2 9 19" xfId="489"/>
    <cellStyle name="Normal 2 9 2" xfId="490"/>
    <cellStyle name="Normal 2 9 20" xfId="491"/>
    <cellStyle name="Normal 2 9 3" xfId="492"/>
    <cellStyle name="Normal 2 9 4" xfId="493"/>
    <cellStyle name="Normal 2 9 5" xfId="494"/>
    <cellStyle name="Normal 2 9 6" xfId="495"/>
    <cellStyle name="Normal 2 9 7" xfId="496"/>
    <cellStyle name="Normal 2 9 8" xfId="497"/>
    <cellStyle name="Normal 2 9 9" xfId="498"/>
    <cellStyle name="Normal 3" xfId="8"/>
    <cellStyle name="Normal 3 2" xfId="499"/>
    <cellStyle name="Normal 3 2 10" xfId="500"/>
    <cellStyle name="Normal 3 2 11" xfId="501"/>
    <cellStyle name="Normal 3 2 12" xfId="502"/>
    <cellStyle name="Normal 3 2 13" xfId="503"/>
    <cellStyle name="Normal 3 2 14" xfId="504"/>
    <cellStyle name="Normal 3 2 15" xfId="505"/>
    <cellStyle name="Normal 3 2 16" xfId="506"/>
    <cellStyle name="Normal 3 2 17" xfId="507"/>
    <cellStyle name="Normal 3 2 18" xfId="508"/>
    <cellStyle name="Normal 3 2 19" xfId="509"/>
    <cellStyle name="Normal 3 2 2" xfId="510"/>
    <cellStyle name="Normal 3 2 20" xfId="511"/>
    <cellStyle name="Normal 3 2 3" xfId="512"/>
    <cellStyle name="Normal 3 2 4" xfId="513"/>
    <cellStyle name="Normal 3 2 5" xfId="514"/>
    <cellStyle name="Normal 3 2 6" xfId="515"/>
    <cellStyle name="Normal 3 2 7" xfId="516"/>
    <cellStyle name="Normal 3 2 8" xfId="517"/>
    <cellStyle name="Normal 3 2 9" xfId="518"/>
    <cellStyle name="Normal 3 3" xfId="519"/>
    <cellStyle name="Normal 3 3 2" xfId="520"/>
    <cellStyle name="Normal 3 4" xfId="521"/>
    <cellStyle name="Normal 3 4 2" xfId="522"/>
    <cellStyle name="Normal 3 5" xfId="523"/>
    <cellStyle name="Normal 3 5 2" xfId="524"/>
    <cellStyle name="Normal 4" xfId="9"/>
    <cellStyle name="Normal 4 2" xfId="625"/>
    <cellStyle name="Normal 5" xfId="10"/>
    <cellStyle name="Normal 5 10" xfId="525"/>
    <cellStyle name="Normal 5 11" xfId="526"/>
    <cellStyle name="Normal 5 12" xfId="527"/>
    <cellStyle name="Normal 5 13" xfId="528"/>
    <cellStyle name="Normal 5 14" xfId="529"/>
    <cellStyle name="Normal 5 15" xfId="530"/>
    <cellStyle name="Normal 5 16" xfId="531"/>
    <cellStyle name="Normal 5 17" xfId="532"/>
    <cellStyle name="Normal 5 18" xfId="533"/>
    <cellStyle name="Normal 5 19" xfId="534"/>
    <cellStyle name="Normal 5 2" xfId="535"/>
    <cellStyle name="Normal 5 20" xfId="536"/>
    <cellStyle name="Normal 5 3" xfId="537"/>
    <cellStyle name="Normal 5 4" xfId="538"/>
    <cellStyle name="Normal 5 5" xfId="539"/>
    <cellStyle name="Normal 5 6" xfId="540"/>
    <cellStyle name="Normal 5 7" xfId="541"/>
    <cellStyle name="Normal 5 8" xfId="542"/>
    <cellStyle name="Normal 5 9" xfId="543"/>
    <cellStyle name="Normal 6" xfId="11"/>
    <cellStyle name="Normal 6 10" xfId="544"/>
    <cellStyle name="Normal 6 11" xfId="545"/>
    <cellStyle name="Normal 6 12" xfId="546"/>
    <cellStyle name="Normal 6 13" xfId="547"/>
    <cellStyle name="Normal 6 14" xfId="548"/>
    <cellStyle name="Normal 6 15" xfId="549"/>
    <cellStyle name="Normal 6 16" xfId="550"/>
    <cellStyle name="Normal 6 17" xfId="551"/>
    <cellStyle name="Normal 6 18" xfId="552"/>
    <cellStyle name="Normal 6 19" xfId="553"/>
    <cellStyle name="Normal 6 2" xfId="554"/>
    <cellStyle name="Normal 6 20" xfId="555"/>
    <cellStyle name="Normal 6 3" xfId="556"/>
    <cellStyle name="Normal 6 4" xfId="557"/>
    <cellStyle name="Normal 6 5" xfId="558"/>
    <cellStyle name="Normal 6 6" xfId="559"/>
    <cellStyle name="Normal 6 7" xfId="560"/>
    <cellStyle name="Normal 6 8" xfId="561"/>
    <cellStyle name="Normal 6 9" xfId="562"/>
    <cellStyle name="Normal 7" xfId="563"/>
    <cellStyle name="Normal 7 10" xfId="564"/>
    <cellStyle name="Normal 7 11" xfId="565"/>
    <cellStyle name="Normal 7 12" xfId="566"/>
    <cellStyle name="Normal 7 13" xfId="567"/>
    <cellStyle name="Normal 7 14" xfId="568"/>
    <cellStyle name="Normal 7 15" xfId="569"/>
    <cellStyle name="Normal 7 16" xfId="570"/>
    <cellStyle name="Normal 7 17" xfId="571"/>
    <cellStyle name="Normal 7 18" xfId="572"/>
    <cellStyle name="Normal 7 19" xfId="573"/>
    <cellStyle name="Normal 7 2" xfId="574"/>
    <cellStyle name="Normal 7 20" xfId="575"/>
    <cellStyle name="Normal 7 3" xfId="576"/>
    <cellStyle name="Normal 7 4" xfId="577"/>
    <cellStyle name="Normal 7 5" xfId="578"/>
    <cellStyle name="Normal 7 6" xfId="579"/>
    <cellStyle name="Normal 7 7" xfId="580"/>
    <cellStyle name="Normal 7 8" xfId="581"/>
    <cellStyle name="Normal 7 9" xfId="582"/>
    <cellStyle name="Normal 8" xfId="583"/>
    <cellStyle name="Normal 8 10" xfId="584"/>
    <cellStyle name="Normal 8 11" xfId="585"/>
    <cellStyle name="Normal 8 12" xfId="586"/>
    <cellStyle name="Normal 8 13" xfId="587"/>
    <cellStyle name="Normal 8 14" xfId="588"/>
    <cellStyle name="Normal 8 15" xfId="589"/>
    <cellStyle name="Normal 8 16" xfId="590"/>
    <cellStyle name="Normal 8 17" xfId="591"/>
    <cellStyle name="Normal 8 18" xfId="592"/>
    <cellStyle name="Normal 8 19" xfId="593"/>
    <cellStyle name="Normal 8 2" xfId="594"/>
    <cellStyle name="Normal 8 20" xfId="595"/>
    <cellStyle name="Normal 8 3" xfId="596"/>
    <cellStyle name="Normal 8 4" xfId="597"/>
    <cellStyle name="Normal 8 5" xfId="598"/>
    <cellStyle name="Normal 8 6" xfId="599"/>
    <cellStyle name="Normal 8 7" xfId="600"/>
    <cellStyle name="Normal 8 8" xfId="601"/>
    <cellStyle name="Normal 8 9" xfId="602"/>
    <cellStyle name="Normal 9" xfId="603"/>
    <cellStyle name="Normal 9 10" xfId="604"/>
    <cellStyle name="Normal 9 11" xfId="605"/>
    <cellStyle name="Normal 9 12" xfId="606"/>
    <cellStyle name="Normal 9 13" xfId="607"/>
    <cellStyle name="Normal 9 14" xfId="608"/>
    <cellStyle name="Normal 9 15" xfId="609"/>
    <cellStyle name="Normal 9 16" xfId="610"/>
    <cellStyle name="Normal 9 17" xfId="611"/>
    <cellStyle name="Normal 9 18" xfId="612"/>
    <cellStyle name="Normal 9 19" xfId="613"/>
    <cellStyle name="Normal 9 2" xfId="614"/>
    <cellStyle name="Normal 9 20" xfId="615"/>
    <cellStyle name="Normal 9 3" xfId="616"/>
    <cellStyle name="Normal 9 4" xfId="617"/>
    <cellStyle name="Normal 9 5" xfId="618"/>
    <cellStyle name="Normal 9 6" xfId="619"/>
    <cellStyle name="Normal 9 7" xfId="620"/>
    <cellStyle name="Normal 9 8" xfId="621"/>
    <cellStyle name="Normal 9 9" xfId="622"/>
    <cellStyle name="Notas" xfId="642" builtinId="10" customBuiltin="1"/>
    <cellStyle name="Porcentaje" xfId="1" builtinId="5"/>
    <cellStyle name="Porcentaje 2" xfId="13"/>
    <cellStyle name="Porcentaje 2 2" xfId="626"/>
    <cellStyle name="Porcentaje 3" xfId="14"/>
    <cellStyle name="Porcentaje 4" xfId="12"/>
    <cellStyle name="Salida" xfId="637" builtinId="21" customBuiltin="1"/>
    <cellStyle name="Texto de advertencia" xfId="641" builtinId="11" customBuiltin="1"/>
    <cellStyle name="Texto explicativo" xfId="643" builtinId="53" customBuiltin="1"/>
    <cellStyle name="Título" xfId="628" builtinId="15" customBuiltin="1"/>
    <cellStyle name="Título 2" xfId="630" builtinId="17" customBuiltin="1"/>
    <cellStyle name="Título 3" xfId="631" builtinId="18" customBuiltin="1"/>
    <cellStyle name="Total" xfId="644"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19581167571816"/>
          <c:y val="2.3181461291697514E-2"/>
          <c:w val="0.81088850970274295"/>
          <c:h val="0.79017251048747117"/>
        </c:manualLayout>
      </c:layout>
      <c:lineChart>
        <c:grouping val="standard"/>
        <c:varyColors val="0"/>
        <c:ser>
          <c:idx val="1"/>
          <c:order val="1"/>
          <c:tx>
            <c:strRef>
              <c:f>I.1!$C$16</c:f>
              <c:strCache>
                <c:ptCount val="1"/>
                <c:pt idx="0">
                  <c:v>Gasto I+D  (MM$ reales de 2014)</c:v>
                </c:pt>
              </c:strCache>
            </c:strRef>
          </c:tx>
          <c:spPr>
            <a:ln>
              <a:solidFill>
                <a:schemeClr val="accent3">
                  <a:lumMod val="75000"/>
                </a:schemeClr>
              </a:solidFill>
            </a:ln>
          </c:spPr>
          <c:marker>
            <c:spPr>
              <a:solidFill>
                <a:schemeClr val="accent3">
                  <a:lumMod val="75000"/>
                </a:schemeClr>
              </a:solidFill>
              <a:ln>
                <a:solidFill>
                  <a:schemeClr val="accent3">
                    <a:lumMod val="75000"/>
                  </a:schemeClr>
                </a:solidFill>
              </a:ln>
            </c:spPr>
          </c:marker>
          <c:dLbls>
            <c:dLbl>
              <c:idx val="0"/>
              <c:layout>
                <c:manualLayout>
                  <c:x val="-5.8823529411764705E-2"/>
                  <c:y val="-8.3570750237416905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2.9411764705882353E-2"/>
                  <c:y val="-3.7986704653371318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2.9411764705882353E-2"/>
                  <c:y val="-4.5584045584045586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0.125"/>
                  <c:y val="-1.5194681861348537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5.719693365887546E-2"/>
                  <c:y val="-4.9382716049382713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3"/>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I.1!$D$6:$K$6</c:f>
              <c:strCache>
                <c:ptCount val="8"/>
                <c:pt idx="0">
                  <c:v>2007</c:v>
                </c:pt>
                <c:pt idx="1">
                  <c:v>2008</c:v>
                </c:pt>
                <c:pt idx="2">
                  <c:v>2009</c:v>
                </c:pt>
                <c:pt idx="3">
                  <c:v>2010</c:v>
                </c:pt>
                <c:pt idx="4">
                  <c:v>2011</c:v>
                </c:pt>
                <c:pt idx="5">
                  <c:v>2012</c:v>
                </c:pt>
                <c:pt idx="6">
                  <c:v>2013</c:v>
                </c:pt>
                <c:pt idx="7">
                  <c:v>2014p</c:v>
                </c:pt>
              </c:strCache>
            </c:strRef>
          </c:cat>
          <c:val>
            <c:numRef>
              <c:f>I.1!$D$16:$K$16</c:f>
              <c:numCache>
                <c:formatCode>#,##0</c:formatCode>
                <c:ptCount val="8"/>
                <c:pt idx="0">
                  <c:v>348911.59489928995</c:v>
                </c:pt>
                <c:pt idx="1">
                  <c:v>408346.54655377002</c:v>
                </c:pt>
                <c:pt idx="2">
                  <c:v>400453.27426610998</c:v>
                </c:pt>
                <c:pt idx="3">
                  <c:v>419783.10240280005</c:v>
                </c:pt>
                <c:pt idx="4">
                  <c:v>469107.54164507822</c:v>
                </c:pt>
                <c:pt idx="5">
                  <c:v>507402.18586398399</c:v>
                </c:pt>
                <c:pt idx="6">
                  <c:v>560828.79012447991</c:v>
                </c:pt>
                <c:pt idx="7">
                  <c:v>558239.59600000002</c:v>
                </c:pt>
              </c:numCache>
            </c:numRef>
          </c:val>
          <c:smooth val="1"/>
        </c:ser>
        <c:dLbls>
          <c:showLegendKey val="0"/>
          <c:showVal val="0"/>
          <c:showCatName val="0"/>
          <c:showSerName val="0"/>
          <c:showPercent val="0"/>
          <c:showBubbleSize val="0"/>
        </c:dLbls>
        <c:marker val="1"/>
        <c:smooth val="0"/>
        <c:axId val="166036016"/>
        <c:axId val="166038256"/>
      </c:lineChart>
      <c:lineChart>
        <c:grouping val="standard"/>
        <c:varyColors val="0"/>
        <c:ser>
          <c:idx val="0"/>
          <c:order val="0"/>
          <c:tx>
            <c:strRef>
              <c:f>I.1!$C$14</c:f>
              <c:strCache>
                <c:ptCount val="1"/>
                <c:pt idx="0">
                  <c:v>Ratio Gasto I+D/PIB</c:v>
                </c:pt>
              </c:strCache>
            </c:strRef>
          </c:tx>
          <c:dLbls>
            <c:dLbl>
              <c:idx val="1"/>
              <c:layout>
                <c:manualLayout>
                  <c:x val="-2.9411764705882353E-2"/>
                  <c:y val="8.7369420702753969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3.4313725490196081E-2"/>
                  <c:y val="-5.3181386514719847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6.6176470588235378E-2"/>
                  <c:y val="-3.4188034188034191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4.2897700244156595E-2"/>
                  <c:y val="-5.6980056980056981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1"/>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I.1!$D$6:$K$6</c:f>
              <c:strCache>
                <c:ptCount val="8"/>
                <c:pt idx="0">
                  <c:v>2007</c:v>
                </c:pt>
                <c:pt idx="1">
                  <c:v>2008</c:v>
                </c:pt>
                <c:pt idx="2">
                  <c:v>2009</c:v>
                </c:pt>
                <c:pt idx="3">
                  <c:v>2010</c:v>
                </c:pt>
                <c:pt idx="4">
                  <c:v>2011</c:v>
                </c:pt>
                <c:pt idx="5">
                  <c:v>2012</c:v>
                </c:pt>
                <c:pt idx="6">
                  <c:v>2013</c:v>
                </c:pt>
                <c:pt idx="7">
                  <c:v>2014p</c:v>
                </c:pt>
              </c:strCache>
            </c:strRef>
          </c:cat>
          <c:val>
            <c:numRef>
              <c:f>I.1!$D$14:$K$14</c:f>
              <c:numCache>
                <c:formatCode>0.00%</c:formatCode>
                <c:ptCount val="8"/>
                <c:pt idx="0">
                  <c:v>3.1050381410137702E-3</c:v>
                </c:pt>
                <c:pt idx="1">
                  <c:v>3.7499256665826232E-3</c:v>
                </c:pt>
                <c:pt idx="2">
                  <c:v>3.5290672983043598E-3</c:v>
                </c:pt>
                <c:pt idx="3">
                  <c:v>3.3096106163124301E-3</c:v>
                </c:pt>
                <c:pt idx="4">
                  <c:v>3.529271527181676E-3</c:v>
                </c:pt>
                <c:pt idx="5">
                  <c:v>3.6059648087571282E-3</c:v>
                </c:pt>
                <c:pt idx="6">
                  <c:v>3.9110294094877908E-3</c:v>
                </c:pt>
                <c:pt idx="7">
                  <c:v>3.7927769827218539E-3</c:v>
                </c:pt>
              </c:numCache>
            </c:numRef>
          </c:val>
          <c:smooth val="1"/>
        </c:ser>
        <c:dLbls>
          <c:showLegendKey val="0"/>
          <c:showVal val="0"/>
          <c:showCatName val="0"/>
          <c:showSerName val="0"/>
          <c:showPercent val="0"/>
          <c:showBubbleSize val="0"/>
        </c:dLbls>
        <c:marker val="1"/>
        <c:smooth val="0"/>
        <c:axId val="236765504"/>
        <c:axId val="166035456"/>
      </c:lineChart>
      <c:valAx>
        <c:axId val="166038256"/>
        <c:scaling>
          <c:orientation val="minMax"/>
          <c:max val="600000"/>
          <c:min val="200000"/>
        </c:scaling>
        <c:delete val="0"/>
        <c:axPos val="l"/>
        <c:numFmt formatCode="#,##0" sourceLinked="1"/>
        <c:majorTickMark val="out"/>
        <c:minorTickMark val="none"/>
        <c:tickLblPos val="nextTo"/>
        <c:crossAx val="166036016"/>
        <c:crosses val="autoZero"/>
        <c:crossBetween val="between"/>
      </c:valAx>
      <c:catAx>
        <c:axId val="166036016"/>
        <c:scaling>
          <c:orientation val="minMax"/>
        </c:scaling>
        <c:delete val="0"/>
        <c:axPos val="b"/>
        <c:numFmt formatCode="General" sourceLinked="0"/>
        <c:majorTickMark val="out"/>
        <c:minorTickMark val="none"/>
        <c:tickLblPos val="nextTo"/>
        <c:crossAx val="166038256"/>
        <c:crosses val="autoZero"/>
        <c:auto val="1"/>
        <c:lblAlgn val="ctr"/>
        <c:lblOffset val="100"/>
        <c:noMultiLvlLbl val="0"/>
      </c:catAx>
      <c:valAx>
        <c:axId val="166035456"/>
        <c:scaling>
          <c:orientation val="minMax"/>
          <c:max val="5.000000000000001E-3"/>
          <c:min val="3.0000000000000009E-3"/>
        </c:scaling>
        <c:delete val="0"/>
        <c:axPos val="r"/>
        <c:numFmt formatCode="0.00%" sourceLinked="1"/>
        <c:majorTickMark val="out"/>
        <c:minorTickMark val="none"/>
        <c:tickLblPos val="nextTo"/>
        <c:crossAx val="236765504"/>
        <c:crosses val="max"/>
        <c:crossBetween val="between"/>
      </c:valAx>
      <c:catAx>
        <c:axId val="236765504"/>
        <c:scaling>
          <c:orientation val="minMax"/>
        </c:scaling>
        <c:delete val="1"/>
        <c:axPos val="b"/>
        <c:numFmt formatCode="General" sourceLinked="1"/>
        <c:majorTickMark val="out"/>
        <c:minorTickMark val="none"/>
        <c:tickLblPos val="nextTo"/>
        <c:crossAx val="166035456"/>
        <c:crosses val="autoZero"/>
        <c:auto val="1"/>
        <c:lblAlgn val="ctr"/>
        <c:lblOffset val="100"/>
        <c:noMultiLvlLbl val="0"/>
      </c:catAx>
      <c:spPr>
        <a:solidFill>
          <a:schemeClr val="bg1">
            <a:lumMod val="95000"/>
          </a:schemeClr>
        </a:solidFill>
      </c:spPr>
    </c:plotArea>
    <c:legend>
      <c:legendPos val="b"/>
      <c:overlay val="0"/>
    </c:legend>
    <c:plotVisOnly val="1"/>
    <c:dispBlanksAs val="gap"/>
    <c:showDLblsOverMax val="0"/>
  </c:chart>
  <c:spPr>
    <a:solidFill>
      <a:sysClr val="window" lastClr="FFFFFF"/>
    </a:solidFill>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Tendencia Gasto en I+D Según Fuente de Financiamiento (MM$ reales de 2014)</a:t>
            </a:r>
          </a:p>
        </c:rich>
      </c:tx>
      <c:overlay val="0"/>
    </c:title>
    <c:autoTitleDeleted val="0"/>
    <c:plotArea>
      <c:layout/>
      <c:lineChart>
        <c:grouping val="standard"/>
        <c:varyColors val="0"/>
        <c:ser>
          <c:idx val="0"/>
          <c:order val="0"/>
          <c:tx>
            <c:strRef>
              <c:f>'C.4'!$B$8</c:f>
              <c:strCache>
                <c:ptCount val="1"/>
                <c:pt idx="0">
                  <c:v>Empresas</c:v>
                </c:pt>
              </c:strCache>
            </c:strRef>
          </c:tx>
          <c:marker>
            <c:symbol val="none"/>
          </c:marker>
          <c:dLbls>
            <c:dLbl>
              <c:idx val="0"/>
              <c:layout>
                <c:manualLayout>
                  <c:x val="-2.9064482672948332E-2"/>
                  <c:y val="-8.1466395112016296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9.0826508352963541E-3"/>
                  <c:y val="-2.1724372029871011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2.3614892171770586E-2"/>
                  <c:y val="-8.1466395112016286E-3"/>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3.2697543007066877E-2"/>
                  <c:y val="-3.258655804480657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6348771503533439E-2"/>
                  <c:y val="1.6293279022403257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1.3311998269546187E-16"/>
                  <c:y val="-1.9008825526137186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1"/>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'C.4'!$C$7:$J$7</c:f>
              <c:strCache>
                <c:ptCount val="8"/>
                <c:pt idx="0">
                  <c:v>2007</c:v>
                </c:pt>
                <c:pt idx="1">
                  <c:v>2008</c:v>
                </c:pt>
                <c:pt idx="2">
                  <c:v>2009</c:v>
                </c:pt>
                <c:pt idx="3">
                  <c:v>2010</c:v>
                </c:pt>
                <c:pt idx="4">
                  <c:v>2011</c:v>
                </c:pt>
                <c:pt idx="5">
                  <c:v>2012</c:v>
                </c:pt>
                <c:pt idx="6">
                  <c:v>2013</c:v>
                </c:pt>
                <c:pt idx="7">
                  <c:v>2014p</c:v>
                </c:pt>
              </c:strCache>
            </c:strRef>
          </c:cat>
          <c:val>
            <c:numRef>
              <c:f>'C.4'!$C$8:$J$8</c:f>
              <c:numCache>
                <c:formatCode>#,##0</c:formatCode>
                <c:ptCount val="8"/>
                <c:pt idx="0">
                  <c:v>135686.41060589999</c:v>
                </c:pt>
                <c:pt idx="1">
                  <c:v>178561.82263291001</c:v>
                </c:pt>
                <c:pt idx="2">
                  <c:v>107972.49466961998</c:v>
                </c:pt>
                <c:pt idx="3">
                  <c:v>106802.4531828</c:v>
                </c:pt>
                <c:pt idx="4">
                  <c:v>158990.9213554</c:v>
                </c:pt>
                <c:pt idx="5">
                  <c:v>177314.94359983999</c:v>
                </c:pt>
                <c:pt idx="6">
                  <c:v>191615.38475563002</c:v>
                </c:pt>
                <c:pt idx="7">
                  <c:v>178437.255</c:v>
                </c:pt>
              </c:numCache>
            </c:numRef>
          </c:val>
          <c:smooth val="1"/>
        </c:ser>
        <c:ser>
          <c:idx val="1"/>
          <c:order val="1"/>
          <c:tx>
            <c:strRef>
              <c:f>'C.4'!$B$9</c:f>
              <c:strCache>
                <c:ptCount val="1"/>
                <c:pt idx="0">
                  <c:v>Estado</c:v>
                </c:pt>
              </c:strCache>
            </c:strRef>
          </c:tx>
          <c:marker>
            <c:symbol val="none"/>
          </c:marker>
          <c:dLbls>
            <c:dLbl>
              <c:idx val="0"/>
              <c:layout>
                <c:manualLayout>
                  <c:x val="-9.0826508352963541E-3"/>
                  <c:y val="3.2586558044806514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0"/>
                  <c:y val="3.8017651052274268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1.8165301670592707E-3"/>
                  <c:y val="2.9871011541072641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2.5431422338829723E-2"/>
                  <c:y val="-2.4439918533604887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3.0881012840007604E-2"/>
                  <c:y val="2.7155465037338764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9046314510600313E-2"/>
                  <c:y val="-2.7155465037338716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3.6305869229690843E-3"/>
                  <c:y val="1.0862186014935505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2"/>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'C.4'!$C$7:$J$7</c:f>
              <c:strCache>
                <c:ptCount val="8"/>
                <c:pt idx="0">
                  <c:v>2007</c:v>
                </c:pt>
                <c:pt idx="1">
                  <c:v>2008</c:v>
                </c:pt>
                <c:pt idx="2">
                  <c:v>2009</c:v>
                </c:pt>
                <c:pt idx="3">
                  <c:v>2010</c:v>
                </c:pt>
                <c:pt idx="4">
                  <c:v>2011</c:v>
                </c:pt>
                <c:pt idx="5">
                  <c:v>2012</c:v>
                </c:pt>
                <c:pt idx="6">
                  <c:v>2013</c:v>
                </c:pt>
                <c:pt idx="7">
                  <c:v>2014p</c:v>
                </c:pt>
              </c:strCache>
            </c:strRef>
          </c:cat>
          <c:val>
            <c:numRef>
              <c:f>'C.4'!$C$9:$J$9</c:f>
              <c:numCache>
                <c:formatCode>#,##0</c:formatCode>
                <c:ptCount val="8"/>
                <c:pt idx="0">
                  <c:v>124147.11729672</c:v>
                </c:pt>
                <c:pt idx="1">
                  <c:v>137864.57065911</c:v>
                </c:pt>
                <c:pt idx="2">
                  <c:v>153466.55884040263</c:v>
                </c:pt>
                <c:pt idx="3">
                  <c:v>169416.98962251193</c:v>
                </c:pt>
                <c:pt idx="4">
                  <c:v>157877.0831976273</c:v>
                </c:pt>
                <c:pt idx="5">
                  <c:v>182463.12517806861</c:v>
                </c:pt>
                <c:pt idx="6">
                  <c:v>215204.18105956999</c:v>
                </c:pt>
                <c:pt idx="7">
                  <c:v>246126.98199999999</c:v>
                </c:pt>
              </c:numCache>
            </c:numRef>
          </c:val>
          <c:smooth val="1"/>
        </c:ser>
        <c:ser>
          <c:idx val="2"/>
          <c:order val="2"/>
          <c:tx>
            <c:strRef>
              <c:f>'C.4'!$B$10</c:f>
              <c:strCache>
                <c:ptCount val="1"/>
                <c:pt idx="0">
                  <c:v>Ed. Superior</c:v>
                </c:pt>
              </c:strCache>
            </c:strRef>
          </c:tx>
          <c:marker>
            <c:symbol val="none"/>
          </c:marker>
          <c:dLbls>
            <c:dLbl>
              <c:idx val="0"/>
              <c:layout>
                <c:manualLayout>
                  <c:x val="-3.6330603341185414E-3"/>
                  <c:y val="-2.4439918533604887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0"/>
                  <c:y val="-2.9871011541072641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3.6330603341185414E-3"/>
                  <c:y val="3.8017651052274268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3.6330603341184751E-3"/>
                  <c:y val="3.5302104548540394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0"/>
                  <c:y val="1.6293279022403358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0"/>
                  <c:y val="1.9008825526137134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3"/>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'C.4'!$C$7:$J$7</c:f>
              <c:strCache>
                <c:ptCount val="8"/>
                <c:pt idx="0">
                  <c:v>2007</c:v>
                </c:pt>
                <c:pt idx="1">
                  <c:v>2008</c:v>
                </c:pt>
                <c:pt idx="2">
                  <c:v>2009</c:v>
                </c:pt>
                <c:pt idx="3">
                  <c:v>2010</c:v>
                </c:pt>
                <c:pt idx="4">
                  <c:v>2011</c:v>
                </c:pt>
                <c:pt idx="5">
                  <c:v>2012</c:v>
                </c:pt>
                <c:pt idx="6">
                  <c:v>2013</c:v>
                </c:pt>
                <c:pt idx="7">
                  <c:v>2014p</c:v>
                </c:pt>
              </c:strCache>
            </c:strRef>
          </c:cat>
          <c:val>
            <c:numRef>
              <c:f>'C.4'!$C$10:$J$10</c:f>
              <c:numCache>
                <c:formatCode>#,##0</c:formatCode>
                <c:ptCount val="8"/>
                <c:pt idx="0">
                  <c:v>65059.630846739994</c:v>
                </c:pt>
                <c:pt idx="1">
                  <c:v>70271.175612430001</c:v>
                </c:pt>
                <c:pt idx="2">
                  <c:v>55917.363194316757</c:v>
                </c:pt>
                <c:pt idx="3">
                  <c:v>53203.118723288077</c:v>
                </c:pt>
                <c:pt idx="4">
                  <c:v>44963.24181227271</c:v>
                </c:pt>
                <c:pt idx="5">
                  <c:v>47819.514821381505</c:v>
                </c:pt>
                <c:pt idx="6">
                  <c:v>65574.273590380006</c:v>
                </c:pt>
                <c:pt idx="7">
                  <c:v>52822.055</c:v>
                </c:pt>
              </c:numCache>
            </c:numRef>
          </c:val>
          <c:smooth val="1"/>
        </c:ser>
        <c:ser>
          <c:idx val="3"/>
          <c:order val="3"/>
          <c:tx>
            <c:strRef>
              <c:f>'C.4'!$B$11</c:f>
              <c:strCache>
                <c:ptCount val="1"/>
                <c:pt idx="0">
                  <c:v>IPSFL</c:v>
                </c:pt>
              </c:strCache>
            </c:strRef>
          </c:tx>
          <c:marker>
            <c:symbol val="none"/>
          </c:marker>
          <c:dLbls>
            <c:dLbl>
              <c:idx val="0"/>
              <c:layout>
                <c:manualLayout>
                  <c:x val="-5.9945495512955936E-2"/>
                  <c:y val="9.9568888241948616E-17"/>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4532241336474166E-2"/>
                  <c:y val="-2.4439918533604887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7.2661206682370829E-3"/>
                  <c:y val="-3.8017651052274171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6.6605336694973437E-17"/>
                  <c:y val="-2.7155465037338764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5.4495905011778126E-3"/>
                  <c:y val="-2.1724372029871011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3.9963663675303955E-2"/>
                  <c:y val="-2.1724372029871011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3.6305869229690843E-3"/>
                  <c:y val="-2.1724372029871011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0"/>
                  <c:y val="-1.6293279022403257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4"/>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'C.4'!$C$7:$J$7</c:f>
              <c:strCache>
                <c:ptCount val="8"/>
                <c:pt idx="0">
                  <c:v>2007</c:v>
                </c:pt>
                <c:pt idx="1">
                  <c:v>2008</c:v>
                </c:pt>
                <c:pt idx="2">
                  <c:v>2009</c:v>
                </c:pt>
                <c:pt idx="3">
                  <c:v>2010</c:v>
                </c:pt>
                <c:pt idx="4">
                  <c:v>2011</c:v>
                </c:pt>
                <c:pt idx="5">
                  <c:v>2012</c:v>
                </c:pt>
                <c:pt idx="6">
                  <c:v>2013</c:v>
                </c:pt>
                <c:pt idx="7">
                  <c:v>2014p</c:v>
                </c:pt>
              </c:strCache>
            </c:strRef>
          </c:cat>
          <c:val>
            <c:numRef>
              <c:f>'C.4'!$C$11:$J$11</c:f>
              <c:numCache>
                <c:formatCode>#,##0</c:formatCode>
                <c:ptCount val="8"/>
                <c:pt idx="0">
                  <c:v>9440.0488628999992</c:v>
                </c:pt>
                <c:pt idx="1">
                  <c:v>8012.6657769800013</c:v>
                </c:pt>
                <c:pt idx="2">
                  <c:v>6814.7452090799989</c:v>
                </c:pt>
                <c:pt idx="3">
                  <c:v>7111.1710550000007</c:v>
                </c:pt>
                <c:pt idx="4">
                  <c:v>7516.8630778000006</c:v>
                </c:pt>
                <c:pt idx="5">
                  <c:v>10828.860939380002</c:v>
                </c:pt>
                <c:pt idx="6">
                  <c:v>4399.7617244800003</c:v>
                </c:pt>
                <c:pt idx="7">
                  <c:v>4010.0940000000001</c:v>
                </c:pt>
              </c:numCache>
            </c:numRef>
          </c:val>
          <c:smooth val="1"/>
        </c:ser>
        <c:ser>
          <c:idx val="4"/>
          <c:order val="4"/>
          <c:tx>
            <c:strRef>
              <c:f>'C.4'!$B$12</c:f>
              <c:strCache>
                <c:ptCount val="1"/>
                <c:pt idx="0">
                  <c:v>Fondos Internacionales</c:v>
                </c:pt>
              </c:strCache>
            </c:strRef>
          </c:tx>
          <c:marker>
            <c:symbol val="none"/>
          </c:marker>
          <c:dLbls>
            <c:dLbl>
              <c:idx val="0"/>
              <c:layout>
                <c:manualLayout>
                  <c:x val="0"/>
                  <c:y val="-2.9871011541072641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3.8147133508244689E-2"/>
                  <c:y val="-5.9742023082145282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0"/>
                  <c:y val="1.3577732518669382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6.6605336694973437E-17"/>
                  <c:y val="2.4439918533604887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0"/>
                  <c:y val="2.9871011541072641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0"/>
                  <c:y val="4.0733197556008148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5"/>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'C.4'!$C$7:$J$7</c:f>
              <c:strCache>
                <c:ptCount val="8"/>
                <c:pt idx="0">
                  <c:v>2007</c:v>
                </c:pt>
                <c:pt idx="1">
                  <c:v>2008</c:v>
                </c:pt>
                <c:pt idx="2">
                  <c:v>2009</c:v>
                </c:pt>
                <c:pt idx="3">
                  <c:v>2010</c:v>
                </c:pt>
                <c:pt idx="4">
                  <c:v>2011</c:v>
                </c:pt>
                <c:pt idx="5">
                  <c:v>2012</c:v>
                </c:pt>
                <c:pt idx="6">
                  <c:v>2013</c:v>
                </c:pt>
                <c:pt idx="7">
                  <c:v>2014p</c:v>
                </c:pt>
              </c:strCache>
            </c:strRef>
          </c:cat>
          <c:val>
            <c:numRef>
              <c:f>'C.4'!$C$12:$J$12</c:f>
              <c:numCache>
                <c:formatCode>#,##0</c:formatCode>
                <c:ptCount val="8"/>
                <c:pt idx="0">
                  <c:v>14578.387287029998</c:v>
                </c:pt>
                <c:pt idx="1">
                  <c:v>13636.310712010001</c:v>
                </c:pt>
                <c:pt idx="2">
                  <c:v>76282.114705829998</c:v>
                </c:pt>
                <c:pt idx="3">
                  <c:v>83249.370961799999</c:v>
                </c:pt>
                <c:pt idx="4">
                  <c:v>99759.43070859999</c:v>
                </c:pt>
                <c:pt idx="5">
                  <c:v>88975.739674850003</c:v>
                </c:pt>
                <c:pt idx="6">
                  <c:v>84035.187947950006</c:v>
                </c:pt>
                <c:pt idx="7">
                  <c:v>76843.210000000006</c:v>
                </c:pt>
              </c:numCache>
            </c:numRef>
          </c:val>
          <c:smooth val="1"/>
        </c:ser>
        <c:dLbls>
          <c:showLegendKey val="0"/>
          <c:showVal val="0"/>
          <c:showCatName val="0"/>
          <c:showSerName val="0"/>
          <c:showPercent val="0"/>
          <c:showBubbleSize val="0"/>
        </c:dLbls>
        <c:smooth val="0"/>
        <c:axId val="237657328"/>
        <c:axId val="237657888"/>
      </c:lineChart>
      <c:catAx>
        <c:axId val="237657328"/>
        <c:scaling>
          <c:orientation val="minMax"/>
        </c:scaling>
        <c:delete val="0"/>
        <c:axPos val="b"/>
        <c:numFmt formatCode="General" sourceLinked="1"/>
        <c:majorTickMark val="out"/>
        <c:minorTickMark val="none"/>
        <c:tickLblPos val="nextTo"/>
        <c:crossAx val="237657888"/>
        <c:crosses val="autoZero"/>
        <c:auto val="1"/>
        <c:lblAlgn val="ctr"/>
        <c:lblOffset val="100"/>
        <c:noMultiLvlLbl val="0"/>
      </c:catAx>
      <c:valAx>
        <c:axId val="237657888"/>
        <c:scaling>
          <c:orientation val="minMax"/>
        </c:scaling>
        <c:delete val="0"/>
        <c:axPos val="l"/>
        <c:majorGridlines/>
        <c:numFmt formatCode="#,##0" sourceLinked="0"/>
        <c:majorTickMark val="out"/>
        <c:minorTickMark val="none"/>
        <c:tickLblPos val="nextTo"/>
        <c:crossAx val="237657328"/>
        <c:crosses val="autoZero"/>
        <c:crossBetween val="between"/>
      </c:valAx>
    </c:plotArea>
    <c:legend>
      <c:legendPos val="b"/>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Tendencia Gasto en I+D Según Fuente de Financiamiento (Porcentajes)</a:t>
            </a:r>
          </a:p>
        </c:rich>
      </c:tx>
      <c:overlay val="0"/>
    </c:title>
    <c:autoTitleDeleted val="0"/>
    <c:plotArea>
      <c:layout>
        <c:manualLayout>
          <c:layoutTarget val="inner"/>
          <c:xMode val="edge"/>
          <c:yMode val="edge"/>
          <c:x val="5.6032374858593137E-2"/>
          <c:y val="0.17393759588605395"/>
          <c:w val="0.94215109497434757"/>
          <c:h val="0.69263520267705847"/>
        </c:manualLayout>
      </c:layout>
      <c:lineChart>
        <c:grouping val="standard"/>
        <c:varyColors val="0"/>
        <c:ser>
          <c:idx val="0"/>
          <c:order val="0"/>
          <c:tx>
            <c:strRef>
              <c:f>'C.4'!$B$8</c:f>
              <c:strCache>
                <c:ptCount val="1"/>
                <c:pt idx="0">
                  <c:v>Empresas</c:v>
                </c:pt>
              </c:strCache>
            </c:strRef>
          </c:tx>
          <c:marker>
            <c:symbol val="none"/>
          </c:marker>
          <c:dLbls>
            <c:dLbl>
              <c:idx val="0"/>
              <c:layout>
                <c:manualLayout>
                  <c:x val="-2.9064510063524326E-2"/>
                  <c:y val="-5.1595383570943655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9.0826508352963541E-3"/>
                  <c:y val="-2.1724372029871011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2.3614892171770586E-2"/>
                  <c:y val="-8.1466395112016286E-3"/>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3.2697543007066877E-2"/>
                  <c:y val="-3.258655804480657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6348771503533439E-2"/>
                  <c:y val="1.6293279022403257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4.6189370843791227E-3"/>
                  <c:y val="2.4439918533604839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1"/>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'C.4'!$M$7:$T$7</c:f>
              <c:strCache>
                <c:ptCount val="8"/>
                <c:pt idx="0">
                  <c:v>2007</c:v>
                </c:pt>
                <c:pt idx="1">
                  <c:v>2008</c:v>
                </c:pt>
                <c:pt idx="2">
                  <c:v>2009</c:v>
                </c:pt>
                <c:pt idx="3">
                  <c:v>2010</c:v>
                </c:pt>
                <c:pt idx="4">
                  <c:v>2011</c:v>
                </c:pt>
                <c:pt idx="5">
                  <c:v>2012</c:v>
                </c:pt>
                <c:pt idx="6">
                  <c:v>2013</c:v>
                </c:pt>
                <c:pt idx="7">
                  <c:v>2014p</c:v>
                </c:pt>
              </c:strCache>
            </c:strRef>
          </c:cat>
          <c:val>
            <c:numRef>
              <c:f>'C.4'!$M$8:$T$8</c:f>
              <c:numCache>
                <c:formatCode>0%</c:formatCode>
                <c:ptCount val="8"/>
                <c:pt idx="0">
                  <c:v>0.3888847851131591</c:v>
                </c:pt>
                <c:pt idx="1">
                  <c:v>0.4372801108452295</c:v>
                </c:pt>
                <c:pt idx="2">
                  <c:v>0.26962569911066087</c:v>
                </c:pt>
                <c:pt idx="3">
                  <c:v>0.25442294432712731</c:v>
                </c:pt>
                <c:pt idx="4">
                  <c:v>0.33892211859136928</c:v>
                </c:pt>
                <c:pt idx="5">
                  <c:v>0.34945640581874993</c:v>
                </c:pt>
                <c:pt idx="6">
                  <c:v>0.34166467286859759</c:v>
                </c:pt>
                <c:pt idx="7">
                  <c:v>0.31964277754313947</c:v>
                </c:pt>
              </c:numCache>
            </c:numRef>
          </c:val>
          <c:smooth val="1"/>
        </c:ser>
        <c:ser>
          <c:idx val="1"/>
          <c:order val="1"/>
          <c:tx>
            <c:strRef>
              <c:f>'C.4'!$B$9</c:f>
              <c:strCache>
                <c:ptCount val="1"/>
                <c:pt idx="0">
                  <c:v>Estado</c:v>
                </c:pt>
              </c:strCache>
            </c:strRef>
          </c:tx>
          <c:marker>
            <c:symbol val="none"/>
          </c:marker>
          <c:dLbls>
            <c:dLbl>
              <c:idx val="0"/>
              <c:layout>
                <c:manualLayout>
                  <c:x val="-9.0826508352963541E-3"/>
                  <c:y val="3.2586558044806514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0"/>
                  <c:y val="3.8017651052274268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1.8165301670592707E-3"/>
                  <c:y val="2.9871011541072641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2.5431422338829723E-2"/>
                  <c:y val="-2.4439918533604887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3.0881012840007604E-2"/>
                  <c:y val="2.7155465037338764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9046314510600313E-2"/>
                  <c:y val="-2.7155465037338716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6.1585827791718999E-3"/>
                  <c:y val="1.3577732518669382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2"/>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'C.4'!$M$7:$T$7</c:f>
              <c:strCache>
                <c:ptCount val="8"/>
                <c:pt idx="0">
                  <c:v>2007</c:v>
                </c:pt>
                <c:pt idx="1">
                  <c:v>2008</c:v>
                </c:pt>
                <c:pt idx="2">
                  <c:v>2009</c:v>
                </c:pt>
                <c:pt idx="3">
                  <c:v>2010</c:v>
                </c:pt>
                <c:pt idx="4">
                  <c:v>2011</c:v>
                </c:pt>
                <c:pt idx="5">
                  <c:v>2012</c:v>
                </c:pt>
                <c:pt idx="6">
                  <c:v>2013</c:v>
                </c:pt>
                <c:pt idx="7">
                  <c:v>2014p</c:v>
                </c:pt>
              </c:strCache>
            </c:strRef>
          </c:cat>
          <c:val>
            <c:numRef>
              <c:f>'C.4'!$M$9:$T$9</c:f>
              <c:numCache>
                <c:formatCode>0%</c:formatCode>
                <c:ptCount val="8"/>
                <c:pt idx="0">
                  <c:v>0.35581252991192192</c:v>
                </c:pt>
                <c:pt idx="1">
                  <c:v>0.33761659603677585</c:v>
                </c:pt>
                <c:pt idx="2">
                  <c:v>0.38323212169972704</c:v>
                </c:pt>
                <c:pt idx="3">
                  <c:v>0.4035822027891347</c:v>
                </c:pt>
                <c:pt idx="4">
                  <c:v>0.33654774158303447</c:v>
                </c:pt>
                <c:pt idx="5">
                  <c:v>0.359602561547678</c:v>
                </c:pt>
                <c:pt idx="6">
                  <c:v>0.38372527454120331</c:v>
                </c:pt>
                <c:pt idx="7">
                  <c:v>0.44089846682964429</c:v>
                </c:pt>
              </c:numCache>
            </c:numRef>
          </c:val>
          <c:smooth val="1"/>
        </c:ser>
        <c:ser>
          <c:idx val="2"/>
          <c:order val="2"/>
          <c:tx>
            <c:strRef>
              <c:f>'C.4'!$B$10</c:f>
              <c:strCache>
                <c:ptCount val="1"/>
                <c:pt idx="0">
                  <c:v>Ed. Superior</c:v>
                </c:pt>
              </c:strCache>
            </c:strRef>
          </c:tx>
          <c:marker>
            <c:symbol val="none"/>
          </c:marker>
          <c:dLbls>
            <c:dLbl>
              <c:idx val="0"/>
              <c:layout>
                <c:manualLayout>
                  <c:x val="-3.6330603341185414E-3"/>
                  <c:y val="-2.4439918533604887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0"/>
                  <c:y val="-2.9871011541072641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3.6330603341185414E-3"/>
                  <c:y val="3.8017651052274268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3.6330603341184751E-3"/>
                  <c:y val="3.5302104548540394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0"/>
                  <c:y val="1.6293279022403358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0"/>
                  <c:y val="1.9008825526137134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3"/>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'C.4'!$M$7:$T$7</c:f>
              <c:strCache>
                <c:ptCount val="8"/>
                <c:pt idx="0">
                  <c:v>2007</c:v>
                </c:pt>
                <c:pt idx="1">
                  <c:v>2008</c:v>
                </c:pt>
                <c:pt idx="2">
                  <c:v>2009</c:v>
                </c:pt>
                <c:pt idx="3">
                  <c:v>2010</c:v>
                </c:pt>
                <c:pt idx="4">
                  <c:v>2011</c:v>
                </c:pt>
                <c:pt idx="5">
                  <c:v>2012</c:v>
                </c:pt>
                <c:pt idx="6">
                  <c:v>2013</c:v>
                </c:pt>
                <c:pt idx="7">
                  <c:v>2014p</c:v>
                </c:pt>
              </c:strCache>
            </c:strRef>
          </c:cat>
          <c:val>
            <c:numRef>
              <c:f>'C.4'!$M$10:$T$10</c:f>
              <c:numCache>
                <c:formatCode>0%</c:formatCode>
                <c:ptCount val="8"/>
                <c:pt idx="0">
                  <c:v>0.18646451364139632</c:v>
                </c:pt>
                <c:pt idx="1">
                  <c:v>0.1720871069075019</c:v>
                </c:pt>
                <c:pt idx="2">
                  <c:v>0.13963517458613015</c:v>
                </c:pt>
                <c:pt idx="3">
                  <c:v>0.12673954304960278</c:v>
                </c:pt>
                <c:pt idx="4">
                  <c:v>9.5848473886675306E-2</c:v>
                </c:pt>
                <c:pt idx="5">
                  <c:v>9.4243809564009601E-2</c:v>
                </c:pt>
                <c:pt idx="6">
                  <c:v>0.11692387207543793</c:v>
                </c:pt>
                <c:pt idx="7">
                  <c:v>9.4622551639995112E-2</c:v>
                </c:pt>
              </c:numCache>
            </c:numRef>
          </c:val>
          <c:smooth val="1"/>
        </c:ser>
        <c:ser>
          <c:idx val="3"/>
          <c:order val="3"/>
          <c:tx>
            <c:strRef>
              <c:f>'C.4'!$B$11</c:f>
              <c:strCache>
                <c:ptCount val="1"/>
                <c:pt idx="0">
                  <c:v>IPSFL</c:v>
                </c:pt>
              </c:strCache>
            </c:strRef>
          </c:tx>
          <c:marker>
            <c:symbol val="none"/>
          </c:marker>
          <c:dLbls>
            <c:dLbl>
              <c:idx val="0"/>
              <c:layout>
                <c:manualLayout>
                  <c:x val="-5.9945495512955936E-2"/>
                  <c:y val="9.9568888241948616E-17"/>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4532241336474166E-2"/>
                  <c:y val="-2.4439918533604887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7.2661206682370829E-3"/>
                  <c:y val="-3.8017651052274171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6.6605336694973437E-17"/>
                  <c:y val="-2.7155465037338764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5.4495905011778126E-3"/>
                  <c:y val="-2.1724372029871011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3.9963663675303955E-2"/>
                  <c:y val="-2.1724372029871011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9.2378741687581308E-3"/>
                  <c:y val="-2.7155465037338764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0"/>
                  <c:y val="-1.0862186014935606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4"/>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'C.4'!$M$7:$T$7</c:f>
              <c:strCache>
                <c:ptCount val="8"/>
                <c:pt idx="0">
                  <c:v>2007</c:v>
                </c:pt>
                <c:pt idx="1">
                  <c:v>2008</c:v>
                </c:pt>
                <c:pt idx="2">
                  <c:v>2009</c:v>
                </c:pt>
                <c:pt idx="3">
                  <c:v>2010</c:v>
                </c:pt>
                <c:pt idx="4">
                  <c:v>2011</c:v>
                </c:pt>
                <c:pt idx="5">
                  <c:v>2012</c:v>
                </c:pt>
                <c:pt idx="6">
                  <c:v>2013</c:v>
                </c:pt>
                <c:pt idx="7">
                  <c:v>2014p</c:v>
                </c:pt>
              </c:strCache>
            </c:strRef>
          </c:cat>
          <c:val>
            <c:numRef>
              <c:f>'C.4'!$M$11:$T$11</c:f>
              <c:numCache>
                <c:formatCode>0%</c:formatCode>
                <c:ptCount val="8"/>
                <c:pt idx="0">
                  <c:v>2.7055704083507975E-2</c:v>
                </c:pt>
                <c:pt idx="1">
                  <c:v>1.9622220066193616E-2</c:v>
                </c:pt>
                <c:pt idx="2">
                  <c:v>1.7017578846181981E-2</c:v>
                </c:pt>
                <c:pt idx="3">
                  <c:v>1.694010786746904E-2</c:v>
                </c:pt>
                <c:pt idx="4">
                  <c:v>1.6023752411588175E-2</c:v>
                </c:pt>
                <c:pt idx="5">
                  <c:v>2.13417704461893E-2</c:v>
                </c:pt>
                <c:pt idx="6">
                  <c:v>7.8451067601453019E-3</c:v>
                </c:pt>
                <c:pt idx="7">
                  <c:v>7.1834639261239373E-3</c:v>
                </c:pt>
              </c:numCache>
            </c:numRef>
          </c:val>
          <c:smooth val="1"/>
        </c:ser>
        <c:ser>
          <c:idx val="4"/>
          <c:order val="4"/>
          <c:tx>
            <c:strRef>
              <c:f>'C.4'!$B$12</c:f>
              <c:strCache>
                <c:ptCount val="1"/>
                <c:pt idx="0">
                  <c:v>Fondos Internacionales</c:v>
                </c:pt>
              </c:strCache>
            </c:strRef>
          </c:tx>
          <c:marker>
            <c:symbol val="none"/>
          </c:marker>
          <c:dLbls>
            <c:dLbl>
              <c:idx val="0"/>
              <c:layout>
                <c:manualLayout>
                  <c:x val="0"/>
                  <c:y val="-2.9871011541072641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3.8147133508244689E-2"/>
                  <c:y val="-5.9742023082145282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3.0792913895860063E-3"/>
                  <c:y val="1.9008825526137134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6.6605336694973437E-17"/>
                  <c:y val="2.4439918533604887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0"/>
                  <c:y val="2.9871011541072641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3.0792913895861191E-3"/>
                  <c:y val="-1.9008825526137134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1.1290604665120134E-16"/>
                  <c:y val="-3.2586558044806514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5"/>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'C.4'!$M$7:$T$7</c:f>
              <c:strCache>
                <c:ptCount val="8"/>
                <c:pt idx="0">
                  <c:v>2007</c:v>
                </c:pt>
                <c:pt idx="1">
                  <c:v>2008</c:v>
                </c:pt>
                <c:pt idx="2">
                  <c:v>2009</c:v>
                </c:pt>
                <c:pt idx="3">
                  <c:v>2010</c:v>
                </c:pt>
                <c:pt idx="4">
                  <c:v>2011</c:v>
                </c:pt>
                <c:pt idx="5">
                  <c:v>2012</c:v>
                </c:pt>
                <c:pt idx="6">
                  <c:v>2013</c:v>
                </c:pt>
                <c:pt idx="7">
                  <c:v>2014p</c:v>
                </c:pt>
              </c:strCache>
            </c:strRef>
          </c:cat>
          <c:val>
            <c:numRef>
              <c:f>'C.4'!$M$12:$T$12</c:f>
              <c:numCache>
                <c:formatCode>0%</c:formatCode>
                <c:ptCount val="8"/>
                <c:pt idx="0">
                  <c:v>4.1782467250014756E-2</c:v>
                </c:pt>
                <c:pt idx="1">
                  <c:v>3.3393966144299021E-2</c:v>
                </c:pt>
                <c:pt idx="2">
                  <c:v>0.19048942575729993</c:v>
                </c:pt>
                <c:pt idx="3">
                  <c:v>0.19831520196666633</c:v>
                </c:pt>
                <c:pt idx="4">
                  <c:v>0.21265791352733274</c:v>
                </c:pt>
                <c:pt idx="5">
                  <c:v>0.17535545262337321</c:v>
                </c:pt>
                <c:pt idx="6">
                  <c:v>0.14984107375461586</c:v>
                </c:pt>
                <c:pt idx="7">
                  <c:v>0.13765274006109737</c:v>
                </c:pt>
              </c:numCache>
            </c:numRef>
          </c:val>
          <c:smooth val="1"/>
        </c:ser>
        <c:dLbls>
          <c:showLegendKey val="0"/>
          <c:showVal val="0"/>
          <c:showCatName val="0"/>
          <c:showSerName val="0"/>
          <c:showPercent val="0"/>
          <c:showBubbleSize val="0"/>
        </c:dLbls>
        <c:smooth val="0"/>
        <c:axId val="239098576"/>
        <c:axId val="239099136"/>
      </c:lineChart>
      <c:catAx>
        <c:axId val="239098576"/>
        <c:scaling>
          <c:orientation val="minMax"/>
        </c:scaling>
        <c:delete val="0"/>
        <c:axPos val="b"/>
        <c:numFmt formatCode="General" sourceLinked="1"/>
        <c:majorTickMark val="out"/>
        <c:minorTickMark val="none"/>
        <c:tickLblPos val="nextTo"/>
        <c:crossAx val="239099136"/>
        <c:crosses val="autoZero"/>
        <c:auto val="1"/>
        <c:lblAlgn val="ctr"/>
        <c:lblOffset val="100"/>
        <c:noMultiLvlLbl val="0"/>
      </c:catAx>
      <c:valAx>
        <c:axId val="239099136"/>
        <c:scaling>
          <c:orientation val="minMax"/>
        </c:scaling>
        <c:delete val="0"/>
        <c:axPos val="l"/>
        <c:majorGridlines/>
        <c:numFmt formatCode="0%" sourceLinked="0"/>
        <c:majorTickMark val="out"/>
        <c:minorTickMark val="none"/>
        <c:tickLblPos val="nextTo"/>
        <c:crossAx val="239098576"/>
        <c:crosses val="autoZero"/>
        <c:crossBetween val="between"/>
      </c:valAx>
    </c:plotArea>
    <c:legend>
      <c:legendPos val="b"/>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16907261592301"/>
          <c:y val="5.1400554097404488E-2"/>
          <c:w val="0.84073565804274464"/>
          <c:h val="0.79568201699206742"/>
        </c:manualLayout>
      </c:layout>
      <c:barChart>
        <c:barDir val="col"/>
        <c:grouping val="clustered"/>
        <c:varyColors val="0"/>
        <c:ser>
          <c:idx val="0"/>
          <c:order val="0"/>
          <c:tx>
            <c:strRef>
              <c:f>'C.6'!$D$6:$D$7</c:f>
              <c:strCache>
                <c:ptCount val="2"/>
                <c:pt idx="0">
                  <c:v>Gasto  I+D (MM$ corrientes, 2014p)</c:v>
                </c:pt>
              </c:strCache>
            </c:strRef>
          </c:tx>
          <c:invertIfNegative val="0"/>
          <c:cat>
            <c:strRef>
              <c:f>'C.6'!$B$8:$B$25</c:f>
              <c:strCache>
                <c:ptCount val="18"/>
                <c:pt idx="0">
                  <c:v>C</c:v>
                </c:pt>
                <c:pt idx="1">
                  <c:v>M</c:v>
                </c:pt>
                <c:pt idx="2">
                  <c:v>A</c:v>
                </c:pt>
                <c:pt idx="3">
                  <c:v>G</c:v>
                </c:pt>
                <c:pt idx="4">
                  <c:v>B</c:v>
                </c:pt>
                <c:pt idx="5">
                  <c:v>K</c:v>
                </c:pt>
                <c:pt idx="6">
                  <c:v>J</c:v>
                </c:pt>
                <c:pt idx="7">
                  <c:v>H</c:v>
                </c:pt>
                <c:pt idx="8">
                  <c:v>D</c:v>
                </c:pt>
                <c:pt idx="9">
                  <c:v>F</c:v>
                </c:pt>
                <c:pt idx="10">
                  <c:v>E</c:v>
                </c:pt>
                <c:pt idx="11">
                  <c:v>Q</c:v>
                </c:pt>
                <c:pt idx="12">
                  <c:v>P</c:v>
                </c:pt>
                <c:pt idx="13">
                  <c:v>N</c:v>
                </c:pt>
                <c:pt idx="14">
                  <c:v>S</c:v>
                </c:pt>
                <c:pt idx="15">
                  <c:v>I</c:v>
                </c:pt>
                <c:pt idx="16">
                  <c:v>L</c:v>
                </c:pt>
                <c:pt idx="17">
                  <c:v>O</c:v>
                </c:pt>
              </c:strCache>
            </c:strRef>
          </c:cat>
          <c:val>
            <c:numRef>
              <c:f>'C.6'!$D$8:$D$25</c:f>
              <c:numCache>
                <c:formatCode>#,##0</c:formatCode>
                <c:ptCount val="18"/>
                <c:pt idx="0">
                  <c:v>56238.847999999998</c:v>
                </c:pt>
                <c:pt idx="1">
                  <c:v>33512.275000000001</c:v>
                </c:pt>
                <c:pt idx="2">
                  <c:v>25558.243999999999</c:v>
                </c:pt>
                <c:pt idx="3">
                  <c:v>21841.870999999999</c:v>
                </c:pt>
                <c:pt idx="4">
                  <c:v>19348.482</c:v>
                </c:pt>
                <c:pt idx="5">
                  <c:v>10434.147000000001</c:v>
                </c:pt>
                <c:pt idx="6">
                  <c:v>10372.34</c:v>
                </c:pt>
                <c:pt idx="7">
                  <c:v>3088.9870000000001</c:v>
                </c:pt>
                <c:pt idx="8">
                  <c:v>1419.079</c:v>
                </c:pt>
                <c:pt idx="9">
                  <c:v>1190.365</c:v>
                </c:pt>
                <c:pt idx="10">
                  <c:v>1190.3499999999999</c:v>
                </c:pt>
                <c:pt idx="11">
                  <c:v>800.57</c:v>
                </c:pt>
                <c:pt idx="12">
                  <c:v>710.69600000000003</c:v>
                </c:pt>
                <c:pt idx="13">
                  <c:v>611.70899999999995</c:v>
                </c:pt>
                <c:pt idx="14">
                  <c:v>458.16</c:v>
                </c:pt>
                <c:pt idx="15">
                  <c:v>169.06800000000001</c:v>
                </c:pt>
                <c:pt idx="16">
                  <c:v>0</c:v>
                </c:pt>
                <c:pt idx="17">
                  <c:v>0</c:v>
                </c:pt>
              </c:numCache>
            </c:numRef>
          </c:val>
        </c:ser>
        <c:dLbls>
          <c:showLegendKey val="0"/>
          <c:showVal val="0"/>
          <c:showCatName val="0"/>
          <c:showSerName val="0"/>
          <c:showPercent val="0"/>
          <c:showBubbleSize val="0"/>
        </c:dLbls>
        <c:gapWidth val="150"/>
        <c:axId val="239101936"/>
        <c:axId val="239102496"/>
      </c:barChart>
      <c:catAx>
        <c:axId val="239101936"/>
        <c:scaling>
          <c:orientation val="minMax"/>
        </c:scaling>
        <c:delete val="0"/>
        <c:axPos val="b"/>
        <c:numFmt formatCode="General" sourceLinked="0"/>
        <c:majorTickMark val="out"/>
        <c:minorTickMark val="none"/>
        <c:tickLblPos val="nextTo"/>
        <c:crossAx val="239102496"/>
        <c:crosses val="autoZero"/>
        <c:auto val="1"/>
        <c:lblAlgn val="ctr"/>
        <c:lblOffset val="100"/>
        <c:noMultiLvlLbl val="0"/>
      </c:catAx>
      <c:valAx>
        <c:axId val="239102496"/>
        <c:scaling>
          <c:orientation val="minMax"/>
        </c:scaling>
        <c:delete val="0"/>
        <c:axPos val="l"/>
        <c:majorGridlines/>
        <c:numFmt formatCode="#,##0" sourceLinked="1"/>
        <c:majorTickMark val="out"/>
        <c:minorTickMark val="none"/>
        <c:tickLblPos val="nextTo"/>
        <c:crossAx val="239101936"/>
        <c:crosses val="autoZero"/>
        <c:crossBetween val="between"/>
      </c:valAx>
    </c:plotArea>
    <c:legend>
      <c:legendPos val="r"/>
      <c:layout>
        <c:manualLayout>
          <c:xMode val="edge"/>
          <c:yMode val="edge"/>
          <c:x val="1.1819991251093613E-2"/>
          <c:y val="0.89738043161271508"/>
          <c:w val="0.97151334208223972"/>
          <c:h val="9.4128025663458723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Gasto</a:t>
            </a:r>
            <a:r>
              <a:rPr lang="es-CL" sz="1600" baseline="0"/>
              <a:t> en I+D</a:t>
            </a:r>
            <a:r>
              <a:rPr lang="es-CL" sz="1600"/>
              <a:t> Corriente v/s</a:t>
            </a:r>
            <a:r>
              <a:rPr lang="es-CL" sz="1600" baseline="0"/>
              <a:t> Gasto en Capital por </a:t>
            </a:r>
            <a:r>
              <a:rPr lang="es-CL" sz="1600" b="1" i="0" u="none" strike="noStrike" baseline="0">
                <a:effectLst/>
              </a:rPr>
              <a:t>Unidad Declarante  </a:t>
            </a:r>
            <a:r>
              <a:rPr lang="es-CL" sz="1600" baseline="0"/>
              <a:t>(MM$ reales de 2014)</a:t>
            </a:r>
            <a:endParaRPr lang="es-CL" sz="1600"/>
          </a:p>
        </c:rich>
      </c:tx>
      <c:layout>
        <c:manualLayout>
          <c:xMode val="edge"/>
          <c:yMode val="edge"/>
          <c:x val="0.12137777031809856"/>
          <c:y val="1.3266993721856605E-2"/>
        </c:manualLayout>
      </c:layout>
      <c:overlay val="0"/>
    </c:title>
    <c:autoTitleDeleted val="0"/>
    <c:plotArea>
      <c:layout>
        <c:manualLayout>
          <c:layoutTarget val="inner"/>
          <c:xMode val="edge"/>
          <c:yMode val="edge"/>
          <c:x val="5.0912221427154139E-2"/>
          <c:y val="7.2155943320308918E-2"/>
          <c:w val="0.84599615775503745"/>
          <c:h val="0.78896432778614844"/>
        </c:manualLayout>
      </c:layout>
      <c:barChart>
        <c:barDir val="col"/>
        <c:grouping val="clustered"/>
        <c:varyColors val="0"/>
        <c:ser>
          <c:idx val="0"/>
          <c:order val="0"/>
          <c:tx>
            <c:strRef>
              <c:f>'C.8'!$G$14</c:f>
              <c:strCache>
                <c:ptCount val="1"/>
                <c:pt idx="0">
                  <c:v>Estado</c:v>
                </c:pt>
              </c:strCache>
            </c:strRef>
          </c:tx>
          <c:invertIfNegative val="0"/>
          <c:cat>
            <c:multiLvlStrRef>
              <c:f>'C.8'!$H$12:$S$13</c:f>
              <c:multiLvlStrCache>
                <c:ptCount val="12"/>
                <c:lvl>
                  <c:pt idx="0">
                    <c:v>Gasto Corriente</c:v>
                  </c:pt>
                  <c:pt idx="1">
                    <c:v>Gasto Capital</c:v>
                  </c:pt>
                  <c:pt idx="2">
                    <c:v>Gasto Corriente</c:v>
                  </c:pt>
                  <c:pt idx="3">
                    <c:v>Gasto Capital</c:v>
                  </c:pt>
                  <c:pt idx="4">
                    <c:v>Gasto Corriente</c:v>
                  </c:pt>
                  <c:pt idx="5">
                    <c:v>Gasto Capital</c:v>
                  </c:pt>
                  <c:pt idx="6">
                    <c:v>Gasto Corriente</c:v>
                  </c:pt>
                  <c:pt idx="7">
                    <c:v>Gasto Capital</c:v>
                  </c:pt>
                  <c:pt idx="8">
                    <c:v>Gasto Corriente</c:v>
                  </c:pt>
                  <c:pt idx="9">
                    <c:v>Gasto Capital</c:v>
                  </c:pt>
                  <c:pt idx="10">
                    <c:v>Gasto Corriente</c:v>
                  </c:pt>
                  <c:pt idx="11">
                    <c:v>Gasto Capital</c:v>
                  </c:pt>
                </c:lvl>
                <c:lvl>
                  <c:pt idx="0">
                    <c:v>2009</c:v>
                  </c:pt>
                  <c:pt idx="2">
                    <c:v>2010</c:v>
                  </c:pt>
                  <c:pt idx="4">
                    <c:v>2011</c:v>
                  </c:pt>
                  <c:pt idx="6">
                    <c:v>2012</c:v>
                  </c:pt>
                  <c:pt idx="8">
                    <c:v>2013</c:v>
                  </c:pt>
                  <c:pt idx="10">
                    <c:v>2014</c:v>
                  </c:pt>
                </c:lvl>
              </c:multiLvlStrCache>
            </c:multiLvlStrRef>
          </c:cat>
          <c:val>
            <c:numRef>
              <c:f>'C.8'!$H$14:$S$14</c:f>
              <c:numCache>
                <c:formatCode>#,##0</c:formatCode>
                <c:ptCount val="12"/>
                <c:pt idx="0">
                  <c:v>11915.788768956336</c:v>
                </c:pt>
                <c:pt idx="1">
                  <c:v>1443.1612399643154</c:v>
                </c:pt>
                <c:pt idx="2">
                  <c:v>14136.669533394286</c:v>
                </c:pt>
                <c:pt idx="3">
                  <c:v>1344.3582799634053</c:v>
                </c:pt>
                <c:pt idx="4">
                  <c:v>15512.214638783267</c:v>
                </c:pt>
                <c:pt idx="5">
                  <c:v>3133.4340779467693</c:v>
                </c:pt>
                <c:pt idx="6">
                  <c:v>19544.788563106751</c:v>
                </c:pt>
                <c:pt idx="7">
                  <c:v>1139.7812330097106</c:v>
                </c:pt>
                <c:pt idx="8">
                  <c:v>41823.480591030006</c:v>
                </c:pt>
                <c:pt idx="9">
                  <c:v>5272.3628269199999</c:v>
                </c:pt>
                <c:pt idx="10">
                  <c:v>41080.747000000003</c:v>
                </c:pt>
                <c:pt idx="11">
                  <c:v>4302.6989999999996</c:v>
                </c:pt>
              </c:numCache>
            </c:numRef>
          </c:val>
        </c:ser>
        <c:ser>
          <c:idx val="1"/>
          <c:order val="1"/>
          <c:tx>
            <c:strRef>
              <c:f>'C.8'!$G$15</c:f>
              <c:strCache>
                <c:ptCount val="1"/>
                <c:pt idx="0">
                  <c:v>Ed. Superior</c:v>
                </c:pt>
              </c:strCache>
            </c:strRef>
          </c:tx>
          <c:invertIfNegative val="0"/>
          <c:cat>
            <c:multiLvlStrRef>
              <c:f>'C.8'!$H$12:$S$13</c:f>
              <c:multiLvlStrCache>
                <c:ptCount val="12"/>
                <c:lvl>
                  <c:pt idx="0">
                    <c:v>Gasto Corriente</c:v>
                  </c:pt>
                  <c:pt idx="1">
                    <c:v>Gasto Capital</c:v>
                  </c:pt>
                  <c:pt idx="2">
                    <c:v>Gasto Corriente</c:v>
                  </c:pt>
                  <c:pt idx="3">
                    <c:v>Gasto Capital</c:v>
                  </c:pt>
                  <c:pt idx="4">
                    <c:v>Gasto Corriente</c:v>
                  </c:pt>
                  <c:pt idx="5">
                    <c:v>Gasto Capital</c:v>
                  </c:pt>
                  <c:pt idx="6">
                    <c:v>Gasto Corriente</c:v>
                  </c:pt>
                  <c:pt idx="7">
                    <c:v>Gasto Capital</c:v>
                  </c:pt>
                  <c:pt idx="8">
                    <c:v>Gasto Corriente</c:v>
                  </c:pt>
                  <c:pt idx="9">
                    <c:v>Gasto Capital</c:v>
                  </c:pt>
                  <c:pt idx="10">
                    <c:v>Gasto Corriente</c:v>
                  </c:pt>
                  <c:pt idx="11">
                    <c:v>Gasto Capital</c:v>
                  </c:pt>
                </c:lvl>
                <c:lvl>
                  <c:pt idx="0">
                    <c:v>2009</c:v>
                  </c:pt>
                  <c:pt idx="2">
                    <c:v>2010</c:v>
                  </c:pt>
                  <c:pt idx="4">
                    <c:v>2011</c:v>
                  </c:pt>
                  <c:pt idx="6">
                    <c:v>2012</c:v>
                  </c:pt>
                  <c:pt idx="8">
                    <c:v>2013</c:v>
                  </c:pt>
                  <c:pt idx="10">
                    <c:v>2014</c:v>
                  </c:pt>
                </c:lvl>
              </c:multiLvlStrCache>
            </c:multiLvlStrRef>
          </c:cat>
          <c:val>
            <c:numRef>
              <c:f>'C.8'!$H$15:$S$15</c:f>
              <c:numCache>
                <c:formatCode>#,##0</c:formatCode>
                <c:ptCount val="12"/>
                <c:pt idx="0">
                  <c:v>127763.32696699427</c:v>
                </c:pt>
                <c:pt idx="1">
                  <c:v>31661.383247100814</c:v>
                </c:pt>
                <c:pt idx="2">
                  <c:v>134031.26605672421</c:v>
                </c:pt>
                <c:pt idx="3">
                  <c:v>27704.652516010967</c:v>
                </c:pt>
                <c:pt idx="4">
                  <c:v>123214.78132129225</c:v>
                </c:pt>
                <c:pt idx="5">
                  <c:v>28822.809648288938</c:v>
                </c:pt>
                <c:pt idx="6">
                  <c:v>145271.34560194216</c:v>
                </c:pt>
                <c:pt idx="7">
                  <c:v>28606.520349514576</c:v>
                </c:pt>
                <c:pt idx="8">
                  <c:v>190961.24263744999</c:v>
                </c:pt>
                <c:pt idx="9">
                  <c:v>29576.10115604</c:v>
                </c:pt>
                <c:pt idx="10">
                  <c:v>188584.21799999999</c:v>
                </c:pt>
                <c:pt idx="11">
                  <c:v>28536.465</c:v>
                </c:pt>
              </c:numCache>
            </c:numRef>
          </c:val>
        </c:ser>
        <c:ser>
          <c:idx val="2"/>
          <c:order val="2"/>
          <c:tx>
            <c:strRef>
              <c:f>'C.8'!$G$16</c:f>
              <c:strCache>
                <c:ptCount val="1"/>
                <c:pt idx="0">
                  <c:v>IPSFL</c:v>
                </c:pt>
              </c:strCache>
            </c:strRef>
          </c:tx>
          <c:invertIfNegative val="0"/>
          <c:cat>
            <c:multiLvlStrRef>
              <c:f>'C.8'!$H$12:$S$13</c:f>
              <c:multiLvlStrCache>
                <c:ptCount val="12"/>
                <c:lvl>
                  <c:pt idx="0">
                    <c:v>Gasto Corriente</c:v>
                  </c:pt>
                  <c:pt idx="1">
                    <c:v>Gasto Capital</c:v>
                  </c:pt>
                  <c:pt idx="2">
                    <c:v>Gasto Corriente</c:v>
                  </c:pt>
                  <c:pt idx="3">
                    <c:v>Gasto Capital</c:v>
                  </c:pt>
                  <c:pt idx="4">
                    <c:v>Gasto Corriente</c:v>
                  </c:pt>
                  <c:pt idx="5">
                    <c:v>Gasto Capital</c:v>
                  </c:pt>
                  <c:pt idx="6">
                    <c:v>Gasto Corriente</c:v>
                  </c:pt>
                  <c:pt idx="7">
                    <c:v>Gasto Capital</c:v>
                  </c:pt>
                  <c:pt idx="8">
                    <c:v>Gasto Corriente</c:v>
                  </c:pt>
                  <c:pt idx="9">
                    <c:v>Gasto Capital</c:v>
                  </c:pt>
                  <c:pt idx="10">
                    <c:v>Gasto Corriente</c:v>
                  </c:pt>
                  <c:pt idx="11">
                    <c:v>Gasto Capital</c:v>
                  </c:pt>
                </c:lvl>
                <c:lvl>
                  <c:pt idx="0">
                    <c:v>2009</c:v>
                  </c:pt>
                  <c:pt idx="2">
                    <c:v>2010</c:v>
                  </c:pt>
                  <c:pt idx="4">
                    <c:v>2011</c:v>
                  </c:pt>
                  <c:pt idx="6">
                    <c:v>2012</c:v>
                  </c:pt>
                  <c:pt idx="8">
                    <c:v>2013</c:v>
                  </c:pt>
                  <c:pt idx="10">
                    <c:v>2014</c:v>
                  </c:pt>
                </c:lvl>
              </c:multiLvlStrCache>
            </c:multiLvlStrRef>
          </c:cat>
          <c:val>
            <c:numRef>
              <c:f>'C.8'!$H$16:$S$16</c:f>
              <c:numCache>
                <c:formatCode>#,##0</c:formatCode>
                <c:ptCount val="12"/>
                <c:pt idx="0">
                  <c:v>36710.87322925956</c:v>
                </c:pt>
                <c:pt idx="1">
                  <c:v>5014.8541123996465</c:v>
                </c:pt>
                <c:pt idx="2">
                  <c:v>37455.954254345888</c:v>
                </c:pt>
                <c:pt idx="3">
                  <c:v>5332.4817932296446</c:v>
                </c:pt>
                <c:pt idx="4">
                  <c:v>40174.098384030374</c:v>
                </c:pt>
                <c:pt idx="5">
                  <c:v>5534.7282319391634</c:v>
                </c:pt>
                <c:pt idx="6">
                  <c:v>49871.970388349517</c:v>
                </c:pt>
                <c:pt idx="7">
                  <c:v>6346.7707961165061</c:v>
                </c:pt>
                <c:pt idx="8">
                  <c:v>21253.112936860001</c:v>
                </c:pt>
                <c:pt idx="9">
                  <c:v>2178.0180110000001</c:v>
                </c:pt>
                <c:pt idx="10">
                  <c:v>39146.832000000002</c:v>
                </c:pt>
                <c:pt idx="11">
                  <c:v>3819.7159999999999</c:v>
                </c:pt>
              </c:numCache>
            </c:numRef>
          </c:val>
        </c:ser>
        <c:ser>
          <c:idx val="3"/>
          <c:order val="3"/>
          <c:tx>
            <c:strRef>
              <c:f>'C.8'!$G$17</c:f>
              <c:strCache>
                <c:ptCount val="1"/>
                <c:pt idx="0">
                  <c:v>Empresas</c:v>
                </c:pt>
              </c:strCache>
            </c:strRef>
          </c:tx>
          <c:invertIfNegative val="0"/>
          <c:cat>
            <c:multiLvlStrRef>
              <c:f>'C.8'!$H$12:$S$13</c:f>
              <c:multiLvlStrCache>
                <c:ptCount val="12"/>
                <c:lvl>
                  <c:pt idx="0">
                    <c:v>Gasto Corriente</c:v>
                  </c:pt>
                  <c:pt idx="1">
                    <c:v>Gasto Capital</c:v>
                  </c:pt>
                  <c:pt idx="2">
                    <c:v>Gasto Corriente</c:v>
                  </c:pt>
                  <c:pt idx="3">
                    <c:v>Gasto Capital</c:v>
                  </c:pt>
                  <c:pt idx="4">
                    <c:v>Gasto Corriente</c:v>
                  </c:pt>
                  <c:pt idx="5">
                    <c:v>Gasto Capital</c:v>
                  </c:pt>
                  <c:pt idx="6">
                    <c:v>Gasto Corriente</c:v>
                  </c:pt>
                  <c:pt idx="7">
                    <c:v>Gasto Capital</c:v>
                  </c:pt>
                  <c:pt idx="8">
                    <c:v>Gasto Corriente</c:v>
                  </c:pt>
                  <c:pt idx="9">
                    <c:v>Gasto Capital</c:v>
                  </c:pt>
                  <c:pt idx="10">
                    <c:v>Gasto Corriente</c:v>
                  </c:pt>
                  <c:pt idx="11">
                    <c:v>Gasto Capital</c:v>
                  </c:pt>
                </c:lvl>
                <c:lvl>
                  <c:pt idx="0">
                    <c:v>2009</c:v>
                  </c:pt>
                  <c:pt idx="2">
                    <c:v>2010</c:v>
                  </c:pt>
                  <c:pt idx="4">
                    <c:v>2011</c:v>
                  </c:pt>
                  <c:pt idx="6">
                    <c:v>2012</c:v>
                  </c:pt>
                  <c:pt idx="8">
                    <c:v>2013</c:v>
                  </c:pt>
                  <c:pt idx="10">
                    <c:v>2014</c:v>
                  </c:pt>
                </c:lvl>
              </c:multiLvlStrCache>
            </c:multiLvlStrRef>
          </c:cat>
          <c:val>
            <c:numRef>
              <c:f>'C.8'!$H$17:$S$17</c:f>
              <c:numCache>
                <c:formatCode>#,##0</c:formatCode>
                <c:ptCount val="12"/>
                <c:pt idx="0">
                  <c:v>97538.807528991922</c:v>
                </c:pt>
                <c:pt idx="1">
                  <c:v>19884.137957181072</c:v>
                </c:pt>
                <c:pt idx="2">
                  <c:v>94483.507044830796</c:v>
                </c:pt>
                <c:pt idx="3">
                  <c:v>29856.043915827991</c:v>
                </c:pt>
                <c:pt idx="4">
                  <c:v>108759.17770912548</c:v>
                </c:pt>
                <c:pt idx="5">
                  <c:v>50946.123003802306</c:v>
                </c:pt>
                <c:pt idx="6">
                  <c:v>131332.31303883495</c:v>
                </c:pt>
                <c:pt idx="7">
                  <c:v>43357.738621359276</c:v>
                </c:pt>
                <c:pt idx="8">
                  <c:v>151924.02190845998</c:v>
                </c:pt>
                <c:pt idx="9">
                  <c:v>44367.072431830005</c:v>
                </c:pt>
                <c:pt idx="10">
                  <c:v>155859.97</c:v>
                </c:pt>
                <c:pt idx="11">
                  <c:v>31085.221000000001</c:v>
                </c:pt>
              </c:numCache>
            </c:numRef>
          </c:val>
        </c:ser>
        <c:dLbls>
          <c:showLegendKey val="0"/>
          <c:showVal val="0"/>
          <c:showCatName val="0"/>
          <c:showSerName val="0"/>
          <c:showPercent val="0"/>
          <c:showBubbleSize val="0"/>
        </c:dLbls>
        <c:gapWidth val="150"/>
        <c:axId val="239106416"/>
        <c:axId val="239106976"/>
      </c:barChart>
      <c:catAx>
        <c:axId val="239106416"/>
        <c:scaling>
          <c:orientation val="minMax"/>
        </c:scaling>
        <c:delete val="0"/>
        <c:axPos val="b"/>
        <c:majorGridlines>
          <c:spPr>
            <a:ln>
              <a:solidFill>
                <a:schemeClr val="bg1"/>
              </a:solidFill>
            </a:ln>
          </c:spPr>
        </c:majorGridlines>
        <c:numFmt formatCode="General" sourceLinked="0"/>
        <c:majorTickMark val="out"/>
        <c:minorTickMark val="none"/>
        <c:tickLblPos val="nextTo"/>
        <c:crossAx val="239106976"/>
        <c:crosses val="autoZero"/>
        <c:auto val="1"/>
        <c:lblAlgn val="ctr"/>
        <c:lblOffset val="100"/>
        <c:noMultiLvlLbl val="0"/>
      </c:catAx>
      <c:valAx>
        <c:axId val="239106976"/>
        <c:scaling>
          <c:orientation val="minMax"/>
        </c:scaling>
        <c:delete val="0"/>
        <c:axPos val="l"/>
        <c:majorGridlines>
          <c:spPr>
            <a:ln>
              <a:solidFill>
                <a:schemeClr val="bg1"/>
              </a:solidFill>
            </a:ln>
          </c:spPr>
        </c:majorGridlines>
        <c:numFmt formatCode="#,##0" sourceLinked="1"/>
        <c:majorTickMark val="out"/>
        <c:minorTickMark val="none"/>
        <c:tickLblPos val="nextTo"/>
        <c:crossAx val="239106416"/>
        <c:crosses val="autoZero"/>
        <c:crossBetween val="between"/>
      </c:valAx>
      <c:spPr>
        <a:solidFill>
          <a:schemeClr val="bg1">
            <a:lumMod val="75000"/>
          </a:schemeClr>
        </a:solidFill>
      </c:spPr>
    </c:plotArea>
    <c:legend>
      <c:legendPos val="r"/>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Tendencia del Gasto en I+D Corriente y en Capital                                        (MM$ reales  de 2014)</a:t>
            </a:r>
          </a:p>
        </c:rich>
      </c:tx>
      <c:layout>
        <c:manualLayout>
          <c:xMode val="edge"/>
          <c:yMode val="edge"/>
          <c:x val="0.22705414530764884"/>
          <c:y val="1.2519505679963017E-2"/>
        </c:manualLayout>
      </c:layout>
      <c:overlay val="0"/>
    </c:title>
    <c:autoTitleDeleted val="0"/>
    <c:plotArea>
      <c:layout/>
      <c:barChart>
        <c:barDir val="col"/>
        <c:grouping val="clustered"/>
        <c:varyColors val="0"/>
        <c:ser>
          <c:idx val="0"/>
          <c:order val="0"/>
          <c:tx>
            <c:strRef>
              <c:f>'C.8'!$V$12</c:f>
              <c:strCache>
                <c:ptCount val="1"/>
                <c:pt idx="0">
                  <c:v>2009</c:v>
                </c:pt>
              </c:strCache>
            </c:strRef>
          </c:tx>
          <c:invertIfNegative val="0"/>
          <c:cat>
            <c:strRef>
              <c:f>'C.8'!$U$13:$U$14</c:f>
              <c:strCache>
                <c:ptCount val="2"/>
                <c:pt idx="0">
                  <c:v>Gasto Corriente</c:v>
                </c:pt>
                <c:pt idx="1">
                  <c:v>Gasto Capital</c:v>
                </c:pt>
              </c:strCache>
            </c:strRef>
          </c:cat>
          <c:val>
            <c:numRef>
              <c:f>'C.8'!$V$13:$V$14</c:f>
              <c:numCache>
                <c:formatCode>#,##0</c:formatCode>
                <c:ptCount val="2"/>
                <c:pt idx="0">
                  <c:v>273928.79649420211</c:v>
                </c:pt>
                <c:pt idx="1">
                  <c:v>58003.536556645849</c:v>
                </c:pt>
              </c:numCache>
            </c:numRef>
          </c:val>
        </c:ser>
        <c:ser>
          <c:idx val="1"/>
          <c:order val="1"/>
          <c:tx>
            <c:strRef>
              <c:f>'C.8'!$W$12</c:f>
              <c:strCache>
                <c:ptCount val="1"/>
                <c:pt idx="0">
                  <c:v>2010</c:v>
                </c:pt>
              </c:strCache>
            </c:strRef>
          </c:tx>
          <c:invertIfNegative val="0"/>
          <c:cat>
            <c:strRef>
              <c:f>'C.8'!$U$13:$U$14</c:f>
              <c:strCache>
                <c:ptCount val="2"/>
                <c:pt idx="0">
                  <c:v>Gasto Corriente</c:v>
                </c:pt>
                <c:pt idx="1">
                  <c:v>Gasto Capital</c:v>
                </c:pt>
              </c:strCache>
            </c:strRef>
          </c:cat>
          <c:val>
            <c:numRef>
              <c:f>'C.8'!$W$13:$W$14</c:f>
              <c:numCache>
                <c:formatCode>#,##0</c:formatCode>
                <c:ptCount val="2"/>
                <c:pt idx="0">
                  <c:v>280107.3968892952</c:v>
                </c:pt>
                <c:pt idx="1">
                  <c:v>64237.536505032011</c:v>
                </c:pt>
              </c:numCache>
            </c:numRef>
          </c:val>
        </c:ser>
        <c:ser>
          <c:idx val="2"/>
          <c:order val="2"/>
          <c:tx>
            <c:strRef>
              <c:f>'C.8'!$X$12</c:f>
              <c:strCache>
                <c:ptCount val="1"/>
                <c:pt idx="0">
                  <c:v>2011</c:v>
                </c:pt>
              </c:strCache>
            </c:strRef>
          </c:tx>
          <c:invertIfNegative val="0"/>
          <c:cat>
            <c:strRef>
              <c:f>'C.8'!$U$13:$U$14</c:f>
              <c:strCache>
                <c:ptCount val="2"/>
                <c:pt idx="0">
                  <c:v>Gasto Corriente</c:v>
                </c:pt>
                <c:pt idx="1">
                  <c:v>Gasto Capital</c:v>
                </c:pt>
              </c:strCache>
            </c:strRef>
          </c:cat>
          <c:val>
            <c:numRef>
              <c:f>'C.8'!$X$13:$X$14</c:f>
              <c:numCache>
                <c:formatCode>#,##0</c:formatCode>
                <c:ptCount val="2"/>
                <c:pt idx="0">
                  <c:v>287660.27205323137</c:v>
                </c:pt>
                <c:pt idx="1">
                  <c:v>88437.094961977171</c:v>
                </c:pt>
              </c:numCache>
            </c:numRef>
          </c:val>
        </c:ser>
        <c:ser>
          <c:idx val="3"/>
          <c:order val="3"/>
          <c:tx>
            <c:strRef>
              <c:f>'C.8'!$Y$12</c:f>
              <c:strCache>
                <c:ptCount val="1"/>
                <c:pt idx="0">
                  <c:v>2012</c:v>
                </c:pt>
              </c:strCache>
            </c:strRef>
          </c:tx>
          <c:invertIfNegative val="0"/>
          <c:cat>
            <c:strRef>
              <c:f>'C.8'!$U$13:$U$14</c:f>
              <c:strCache>
                <c:ptCount val="2"/>
                <c:pt idx="0">
                  <c:v>Gasto Corriente</c:v>
                </c:pt>
                <c:pt idx="1">
                  <c:v>Gasto Capital</c:v>
                </c:pt>
              </c:strCache>
            </c:strRef>
          </c:cat>
          <c:val>
            <c:numRef>
              <c:f>'C.8'!$Y$13:$Y$14</c:f>
              <c:numCache>
                <c:formatCode>#,##0</c:formatCode>
                <c:ptCount val="2"/>
                <c:pt idx="0">
                  <c:v>346020.4175922334</c:v>
                </c:pt>
                <c:pt idx="1">
                  <c:v>79450.811000000074</c:v>
                </c:pt>
              </c:numCache>
            </c:numRef>
          </c:val>
        </c:ser>
        <c:ser>
          <c:idx val="4"/>
          <c:order val="4"/>
          <c:tx>
            <c:strRef>
              <c:f>'C.8'!$Z$12</c:f>
              <c:strCache>
                <c:ptCount val="1"/>
                <c:pt idx="0">
                  <c:v>2013</c:v>
                </c:pt>
              </c:strCache>
            </c:strRef>
          </c:tx>
          <c:invertIfNegative val="0"/>
          <c:cat>
            <c:strRef>
              <c:f>'C.8'!$U$13:$U$14</c:f>
              <c:strCache>
                <c:ptCount val="2"/>
                <c:pt idx="0">
                  <c:v>Gasto Corriente</c:v>
                </c:pt>
                <c:pt idx="1">
                  <c:v>Gasto Capital</c:v>
                </c:pt>
              </c:strCache>
            </c:strRef>
          </c:cat>
          <c:val>
            <c:numRef>
              <c:f>'C.8'!$Z$13:$Z$14</c:f>
              <c:numCache>
                <c:formatCode>#,##0</c:formatCode>
                <c:ptCount val="2"/>
                <c:pt idx="0">
                  <c:v>405961.85807379999</c:v>
                </c:pt>
                <c:pt idx="1">
                  <c:v>81393.554425790004</c:v>
                </c:pt>
              </c:numCache>
            </c:numRef>
          </c:val>
        </c:ser>
        <c:ser>
          <c:idx val="5"/>
          <c:order val="5"/>
          <c:tx>
            <c:strRef>
              <c:f>'C.8'!$AA$12</c:f>
              <c:strCache>
                <c:ptCount val="1"/>
                <c:pt idx="0">
                  <c:v>2014</c:v>
                </c:pt>
              </c:strCache>
            </c:strRef>
          </c:tx>
          <c:invertIfNegative val="0"/>
          <c:cat>
            <c:strRef>
              <c:f>'C.8'!$U$13:$U$14</c:f>
              <c:strCache>
                <c:ptCount val="2"/>
                <c:pt idx="0">
                  <c:v>Gasto Corriente</c:v>
                </c:pt>
                <c:pt idx="1">
                  <c:v>Gasto Capital</c:v>
                </c:pt>
              </c:strCache>
            </c:strRef>
          </c:cat>
          <c:val>
            <c:numRef>
              <c:f>'C.8'!$AA$13:$AA$14</c:f>
              <c:numCache>
                <c:formatCode>#,##0</c:formatCode>
                <c:ptCount val="2"/>
                <c:pt idx="0">
                  <c:v>424671.76699999999</c:v>
                </c:pt>
                <c:pt idx="1">
                  <c:v>67744.100999999995</c:v>
                </c:pt>
              </c:numCache>
            </c:numRef>
          </c:val>
        </c:ser>
        <c:dLbls>
          <c:showLegendKey val="0"/>
          <c:showVal val="0"/>
          <c:showCatName val="0"/>
          <c:showSerName val="0"/>
          <c:showPercent val="0"/>
          <c:showBubbleSize val="0"/>
        </c:dLbls>
        <c:gapWidth val="150"/>
        <c:axId val="239705568"/>
        <c:axId val="239706128"/>
      </c:barChart>
      <c:catAx>
        <c:axId val="239705568"/>
        <c:scaling>
          <c:orientation val="minMax"/>
        </c:scaling>
        <c:delete val="0"/>
        <c:axPos val="b"/>
        <c:numFmt formatCode="General" sourceLinked="0"/>
        <c:majorTickMark val="out"/>
        <c:minorTickMark val="none"/>
        <c:tickLblPos val="nextTo"/>
        <c:crossAx val="239706128"/>
        <c:crosses val="autoZero"/>
        <c:auto val="1"/>
        <c:lblAlgn val="ctr"/>
        <c:lblOffset val="100"/>
        <c:noMultiLvlLbl val="0"/>
      </c:catAx>
      <c:valAx>
        <c:axId val="239706128"/>
        <c:scaling>
          <c:orientation val="minMax"/>
        </c:scaling>
        <c:delete val="0"/>
        <c:axPos val="l"/>
        <c:majorGridlines>
          <c:spPr>
            <a:ln>
              <a:solidFill>
                <a:schemeClr val="bg1"/>
              </a:solidFill>
            </a:ln>
          </c:spPr>
        </c:majorGridlines>
        <c:numFmt formatCode="#,##0" sourceLinked="1"/>
        <c:majorTickMark val="out"/>
        <c:minorTickMark val="none"/>
        <c:tickLblPos val="nextTo"/>
        <c:crossAx val="239705568"/>
        <c:crosses val="autoZero"/>
        <c:crossBetween val="between"/>
      </c:valAx>
      <c:spPr>
        <a:solidFill>
          <a:schemeClr val="bg1">
            <a:lumMod val="75000"/>
          </a:schemeClr>
        </a:solidFill>
      </c:spPr>
    </c:plotArea>
    <c:legend>
      <c:legendPos val="r"/>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600"/>
            </a:pPr>
            <a:r>
              <a:rPr lang="en-US" sz="1600"/>
              <a:t>Ratio</a:t>
            </a:r>
            <a:r>
              <a:rPr lang="en-US" sz="1600" baseline="0"/>
              <a:t> Gasto Corriente/Gasto Capital (Tendencia)</a:t>
            </a:r>
          </a:p>
        </c:rich>
      </c:tx>
      <c:overlay val="0"/>
    </c:title>
    <c:autoTitleDeleted val="0"/>
    <c:plotArea>
      <c:layout>
        <c:manualLayout>
          <c:layoutTarget val="inner"/>
          <c:xMode val="edge"/>
          <c:yMode val="edge"/>
          <c:x val="0.10513207713097934"/>
          <c:y val="0.20330757277171502"/>
          <c:w val="0.82776083853100457"/>
          <c:h val="0.64874864065031235"/>
        </c:manualLayout>
      </c:layout>
      <c:lineChart>
        <c:grouping val="standard"/>
        <c:varyColors val="0"/>
        <c:ser>
          <c:idx val="0"/>
          <c:order val="0"/>
          <c:tx>
            <c:strRef>
              <c:f>'C.8'!$E$7</c:f>
              <c:strCache>
                <c:ptCount val="1"/>
                <c:pt idx="0">
                  <c:v>Ratio Corriente/Capital</c:v>
                </c:pt>
              </c:strCache>
            </c:strRef>
          </c:tx>
          <c:dLbls>
            <c:dLbl>
              <c:idx val="2"/>
              <c:layout>
                <c:manualLayout>
                  <c:x val="-6.2326842617033782E-3"/>
                  <c:y val="3.5180279541947156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0"/>
                  <c:y val="1.7590139770973609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tx1"/>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('C.8'!$B$8,'C.8'!$B$14,'C.8'!$B$20,'C.8'!$B$26,'C.8'!$B$32,'C.8'!$B$38)</c:f>
              <c:strCache>
                <c:ptCount val="6"/>
                <c:pt idx="0">
                  <c:v>2009</c:v>
                </c:pt>
                <c:pt idx="1">
                  <c:v>2010</c:v>
                </c:pt>
                <c:pt idx="2">
                  <c:v>2011</c:v>
                </c:pt>
                <c:pt idx="3">
                  <c:v>2012</c:v>
                </c:pt>
                <c:pt idx="4">
                  <c:v>2013</c:v>
                </c:pt>
                <c:pt idx="5">
                  <c:v>2014p</c:v>
                </c:pt>
              </c:strCache>
            </c:strRef>
          </c:cat>
          <c:val>
            <c:numRef>
              <c:f>('C.8'!$E$13,'C.8'!$E$19,'C.8'!$E$25,'C.8'!$E$31,'C.8'!$E$37,'C.8'!$E$43)</c:f>
              <c:numCache>
                <c:formatCode>0.0</c:formatCode>
                <c:ptCount val="6"/>
                <c:pt idx="0">
                  <c:v>4.722622321945579</c:v>
                </c:pt>
                <c:pt idx="1">
                  <c:v>4.3604940682517164</c:v>
                </c:pt>
                <c:pt idx="2">
                  <c:v>3.2527105529292726</c:v>
                </c:pt>
                <c:pt idx="3">
                  <c:v>4.3551527446615124</c:v>
                </c:pt>
                <c:pt idx="4">
                  <c:v>4.9876413548683738</c:v>
                </c:pt>
                <c:pt idx="5">
                  <c:v>6.2687637850563549</c:v>
                </c:pt>
              </c:numCache>
            </c:numRef>
          </c:val>
          <c:smooth val="0"/>
        </c:ser>
        <c:dLbls>
          <c:showLegendKey val="0"/>
          <c:showVal val="0"/>
          <c:showCatName val="0"/>
          <c:showSerName val="0"/>
          <c:showPercent val="0"/>
          <c:showBubbleSize val="0"/>
        </c:dLbls>
        <c:marker val="1"/>
        <c:smooth val="0"/>
        <c:axId val="239708928"/>
        <c:axId val="239709488"/>
      </c:lineChart>
      <c:catAx>
        <c:axId val="239708928"/>
        <c:scaling>
          <c:orientation val="minMax"/>
        </c:scaling>
        <c:delete val="0"/>
        <c:axPos val="b"/>
        <c:numFmt formatCode="General" sourceLinked="1"/>
        <c:majorTickMark val="out"/>
        <c:minorTickMark val="none"/>
        <c:tickLblPos val="nextTo"/>
        <c:crossAx val="239709488"/>
        <c:crosses val="autoZero"/>
        <c:auto val="1"/>
        <c:lblAlgn val="ctr"/>
        <c:lblOffset val="100"/>
        <c:noMultiLvlLbl val="0"/>
      </c:catAx>
      <c:valAx>
        <c:axId val="239709488"/>
        <c:scaling>
          <c:orientation val="minMax"/>
        </c:scaling>
        <c:delete val="0"/>
        <c:axPos val="l"/>
        <c:majorGridlines>
          <c:spPr>
            <a:ln>
              <a:solidFill>
                <a:schemeClr val="bg1"/>
              </a:solidFill>
            </a:ln>
          </c:spPr>
        </c:majorGridlines>
        <c:numFmt formatCode="0.0" sourceLinked="1"/>
        <c:majorTickMark val="out"/>
        <c:minorTickMark val="none"/>
        <c:tickLblPos val="nextTo"/>
        <c:crossAx val="239708928"/>
        <c:crosses val="autoZero"/>
        <c:crossBetween val="between"/>
      </c:valAx>
      <c:spPr>
        <a:solidFill>
          <a:schemeClr val="bg1">
            <a:lumMod val="75000"/>
          </a:schemeClr>
        </a:solidFill>
      </c:spPr>
    </c:plotArea>
    <c:legend>
      <c:legendPos val="r"/>
      <c:layout>
        <c:manualLayout>
          <c:xMode val="edge"/>
          <c:yMode val="edge"/>
          <c:x val="0.12975605755451841"/>
          <c:y val="0.92264092793221097"/>
          <c:w val="0.71965578155033183"/>
          <c:h val="6.214057901329139E-2"/>
        </c:manualLayout>
      </c:layout>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Gasto en I+D Según Tipo de Investigación y Unidad</a:t>
            </a:r>
            <a:r>
              <a:rPr lang="es-CL" sz="1600" baseline="0"/>
              <a:t> Declarante             </a:t>
            </a:r>
            <a:r>
              <a:rPr lang="es-CL" sz="1600"/>
              <a:t>(MM$ reales de 2014)</a:t>
            </a:r>
          </a:p>
        </c:rich>
      </c:tx>
      <c:layout>
        <c:manualLayout>
          <c:xMode val="edge"/>
          <c:yMode val="edge"/>
          <c:x val="9.7800335958039525E-2"/>
          <c:y val="6.6170388751033912E-3"/>
        </c:manualLayout>
      </c:layout>
      <c:overlay val="0"/>
    </c:title>
    <c:autoTitleDeleted val="0"/>
    <c:plotArea>
      <c:layout/>
      <c:barChart>
        <c:barDir val="col"/>
        <c:grouping val="clustered"/>
        <c:varyColors val="0"/>
        <c:ser>
          <c:idx val="0"/>
          <c:order val="0"/>
          <c:tx>
            <c:strRef>
              <c:f>'C.9'!$G$16</c:f>
              <c:strCache>
                <c:ptCount val="1"/>
                <c:pt idx="0">
                  <c:v>Estado</c:v>
                </c:pt>
              </c:strCache>
            </c:strRef>
          </c:tx>
          <c:invertIfNegative val="0"/>
          <c:cat>
            <c:multiLvlStrRef>
              <c:f>'C.9'!$H$14:$Y$15</c:f>
              <c:multiLvlStrCache>
                <c:ptCount val="18"/>
                <c:lvl>
                  <c:pt idx="0">
                    <c:v>Investigación Básica</c:v>
                  </c:pt>
                  <c:pt idx="1">
                    <c:v>Investigación Aplicada</c:v>
                  </c:pt>
                  <c:pt idx="2">
                    <c:v>Desarrollo Experimental</c:v>
                  </c:pt>
                  <c:pt idx="3">
                    <c:v>Investigación Básica</c:v>
                  </c:pt>
                  <c:pt idx="4">
                    <c:v>Investigación Aplicada</c:v>
                  </c:pt>
                  <c:pt idx="5">
                    <c:v>Desarrollo Experimental</c:v>
                  </c:pt>
                  <c:pt idx="6">
                    <c:v>Investigación Básica</c:v>
                  </c:pt>
                  <c:pt idx="7">
                    <c:v>Investigación Aplicada</c:v>
                  </c:pt>
                  <c:pt idx="8">
                    <c:v>Desarrollo Experimental</c:v>
                  </c:pt>
                  <c:pt idx="9">
                    <c:v>Investigación Básica</c:v>
                  </c:pt>
                  <c:pt idx="10">
                    <c:v>Investigación Aplicada</c:v>
                  </c:pt>
                  <c:pt idx="11">
                    <c:v>Desarrollo Experimental</c:v>
                  </c:pt>
                  <c:pt idx="12">
                    <c:v>Investigación Básica</c:v>
                  </c:pt>
                  <c:pt idx="13">
                    <c:v>Investigación Aplicada</c:v>
                  </c:pt>
                  <c:pt idx="14">
                    <c:v>Desarrollo Experimental</c:v>
                  </c:pt>
                  <c:pt idx="15">
                    <c:v>Investigación Básica</c:v>
                  </c:pt>
                  <c:pt idx="16">
                    <c:v>Investigación Aplicada</c:v>
                  </c:pt>
                  <c:pt idx="17">
                    <c:v>Desarrollo Experimental</c:v>
                  </c:pt>
                </c:lvl>
                <c:lvl>
                  <c:pt idx="0">
                    <c:v>2009</c:v>
                  </c:pt>
                  <c:pt idx="3">
                    <c:v>2010</c:v>
                  </c:pt>
                  <c:pt idx="6">
                    <c:v>2011</c:v>
                  </c:pt>
                  <c:pt idx="9">
                    <c:v>2012</c:v>
                  </c:pt>
                  <c:pt idx="12">
                    <c:v>2013</c:v>
                  </c:pt>
                  <c:pt idx="15">
                    <c:v>2014</c:v>
                  </c:pt>
                </c:lvl>
              </c:multiLvlStrCache>
            </c:multiLvlStrRef>
          </c:cat>
          <c:val>
            <c:numRef>
              <c:f>'C.9'!$H$16:$Y$16</c:f>
              <c:numCache>
                <c:formatCode>#,##0</c:formatCode>
                <c:ptCount val="18"/>
                <c:pt idx="0">
                  <c:v>4094.3796342551291</c:v>
                </c:pt>
                <c:pt idx="1">
                  <c:v>6160.9865298840368</c:v>
                </c:pt>
                <c:pt idx="2">
                  <c:v>1660.4226048171231</c:v>
                </c:pt>
                <c:pt idx="3">
                  <c:v>6199.1015553522457</c:v>
                </c:pt>
                <c:pt idx="4">
                  <c:v>6236.7352241537028</c:v>
                </c:pt>
                <c:pt idx="5">
                  <c:v>1700.8327538883848</c:v>
                </c:pt>
                <c:pt idx="6">
                  <c:v>4094.3677281368846</c:v>
                </c:pt>
                <c:pt idx="7">
                  <c:v>9572.9375</c:v>
                </c:pt>
                <c:pt idx="8">
                  <c:v>1845.949382129279</c:v>
                </c:pt>
                <c:pt idx="9">
                  <c:v>4887.7670873786392</c:v>
                </c:pt>
                <c:pt idx="10">
                  <c:v>11933.687436893249</c:v>
                </c:pt>
                <c:pt idx="11">
                  <c:v>2723.3340388349516</c:v>
                </c:pt>
                <c:pt idx="12">
                  <c:v>5511.6857544815002</c:v>
                </c:pt>
                <c:pt idx="13">
                  <c:v>25663.529145267261</c:v>
                </c:pt>
                <c:pt idx="14">
                  <c:v>10648.2657606622</c:v>
                </c:pt>
                <c:pt idx="15">
                  <c:v>6592.43361</c:v>
                </c:pt>
                <c:pt idx="16">
                  <c:v>24751.654411300002</c:v>
                </c:pt>
                <c:pt idx="17">
                  <c:v>9736.6589779999995</c:v>
                </c:pt>
              </c:numCache>
            </c:numRef>
          </c:val>
        </c:ser>
        <c:ser>
          <c:idx val="1"/>
          <c:order val="1"/>
          <c:tx>
            <c:strRef>
              <c:f>'C.9'!$G$17</c:f>
              <c:strCache>
                <c:ptCount val="1"/>
                <c:pt idx="0">
                  <c:v>Ed. Superior</c:v>
                </c:pt>
              </c:strCache>
            </c:strRef>
          </c:tx>
          <c:invertIfNegative val="0"/>
          <c:cat>
            <c:multiLvlStrRef>
              <c:f>'C.9'!$H$14:$Y$15</c:f>
              <c:multiLvlStrCache>
                <c:ptCount val="18"/>
                <c:lvl>
                  <c:pt idx="0">
                    <c:v>Investigación Básica</c:v>
                  </c:pt>
                  <c:pt idx="1">
                    <c:v>Investigación Aplicada</c:v>
                  </c:pt>
                  <c:pt idx="2">
                    <c:v>Desarrollo Experimental</c:v>
                  </c:pt>
                  <c:pt idx="3">
                    <c:v>Investigación Básica</c:v>
                  </c:pt>
                  <c:pt idx="4">
                    <c:v>Investigación Aplicada</c:v>
                  </c:pt>
                  <c:pt idx="5">
                    <c:v>Desarrollo Experimental</c:v>
                  </c:pt>
                  <c:pt idx="6">
                    <c:v>Investigación Básica</c:v>
                  </c:pt>
                  <c:pt idx="7">
                    <c:v>Investigación Aplicada</c:v>
                  </c:pt>
                  <c:pt idx="8">
                    <c:v>Desarrollo Experimental</c:v>
                  </c:pt>
                  <c:pt idx="9">
                    <c:v>Investigación Básica</c:v>
                  </c:pt>
                  <c:pt idx="10">
                    <c:v>Investigación Aplicada</c:v>
                  </c:pt>
                  <c:pt idx="11">
                    <c:v>Desarrollo Experimental</c:v>
                  </c:pt>
                  <c:pt idx="12">
                    <c:v>Investigación Básica</c:v>
                  </c:pt>
                  <c:pt idx="13">
                    <c:v>Investigación Aplicada</c:v>
                  </c:pt>
                  <c:pt idx="14">
                    <c:v>Desarrollo Experimental</c:v>
                  </c:pt>
                  <c:pt idx="15">
                    <c:v>Investigación Básica</c:v>
                  </c:pt>
                  <c:pt idx="16">
                    <c:v>Investigación Aplicada</c:v>
                  </c:pt>
                  <c:pt idx="17">
                    <c:v>Desarrollo Experimental</c:v>
                  </c:pt>
                </c:lvl>
                <c:lvl>
                  <c:pt idx="0">
                    <c:v>2009</c:v>
                  </c:pt>
                  <c:pt idx="3">
                    <c:v>2010</c:v>
                  </c:pt>
                  <c:pt idx="6">
                    <c:v>2011</c:v>
                  </c:pt>
                  <c:pt idx="9">
                    <c:v>2012</c:v>
                  </c:pt>
                  <c:pt idx="12">
                    <c:v>2013</c:v>
                  </c:pt>
                  <c:pt idx="15">
                    <c:v>2014</c:v>
                  </c:pt>
                </c:lvl>
              </c:multiLvlStrCache>
            </c:multiLvlStrRef>
          </c:cat>
          <c:val>
            <c:numRef>
              <c:f>'C.9'!$H$17:$Y$17</c:f>
              <c:numCache>
                <c:formatCode>#,##0</c:formatCode>
                <c:ptCount val="18"/>
                <c:pt idx="0">
                  <c:v>48920.542105263208</c:v>
                </c:pt>
                <c:pt idx="1">
                  <c:v>57327.612310437093</c:v>
                </c:pt>
                <c:pt idx="2">
                  <c:v>21515.172551293497</c:v>
                </c:pt>
                <c:pt idx="3">
                  <c:v>50792.908325709046</c:v>
                </c:pt>
                <c:pt idx="4">
                  <c:v>60816.008783165606</c:v>
                </c:pt>
                <c:pt idx="5">
                  <c:v>22422.348947849918</c:v>
                </c:pt>
                <c:pt idx="6">
                  <c:v>57032.03612167298</c:v>
                </c:pt>
                <c:pt idx="7">
                  <c:v>51414.110171102693</c:v>
                </c:pt>
                <c:pt idx="8">
                  <c:v>14768.635028517116</c:v>
                </c:pt>
                <c:pt idx="9">
                  <c:v>65946.130330097119</c:v>
                </c:pt>
                <c:pt idx="10">
                  <c:v>62786.35113592229</c:v>
                </c:pt>
                <c:pt idx="11">
                  <c:v>16538.864135922293</c:v>
                </c:pt>
                <c:pt idx="12">
                  <c:v>80477.231764263328</c:v>
                </c:pt>
                <c:pt idx="13">
                  <c:v>82718.744201553811</c:v>
                </c:pt>
                <c:pt idx="14">
                  <c:v>27765.266655831176</c:v>
                </c:pt>
                <c:pt idx="15">
                  <c:v>92015.805815</c:v>
                </c:pt>
                <c:pt idx="16">
                  <c:v>74789.864789500003</c:v>
                </c:pt>
                <c:pt idx="17">
                  <c:v>21778.5472634</c:v>
                </c:pt>
              </c:numCache>
            </c:numRef>
          </c:val>
        </c:ser>
        <c:ser>
          <c:idx val="2"/>
          <c:order val="2"/>
          <c:tx>
            <c:strRef>
              <c:f>'C.9'!$G$18</c:f>
              <c:strCache>
                <c:ptCount val="1"/>
                <c:pt idx="0">
                  <c:v>IPSFL</c:v>
                </c:pt>
              </c:strCache>
            </c:strRef>
          </c:tx>
          <c:invertIfNegative val="0"/>
          <c:cat>
            <c:multiLvlStrRef>
              <c:f>'C.9'!$H$14:$Y$15</c:f>
              <c:multiLvlStrCache>
                <c:ptCount val="18"/>
                <c:lvl>
                  <c:pt idx="0">
                    <c:v>Investigación Básica</c:v>
                  </c:pt>
                  <c:pt idx="1">
                    <c:v>Investigación Aplicada</c:v>
                  </c:pt>
                  <c:pt idx="2">
                    <c:v>Desarrollo Experimental</c:v>
                  </c:pt>
                  <c:pt idx="3">
                    <c:v>Investigación Básica</c:v>
                  </c:pt>
                  <c:pt idx="4">
                    <c:v>Investigación Aplicada</c:v>
                  </c:pt>
                  <c:pt idx="5">
                    <c:v>Desarrollo Experimental</c:v>
                  </c:pt>
                  <c:pt idx="6">
                    <c:v>Investigación Básica</c:v>
                  </c:pt>
                  <c:pt idx="7">
                    <c:v>Investigación Aplicada</c:v>
                  </c:pt>
                  <c:pt idx="8">
                    <c:v>Desarrollo Experimental</c:v>
                  </c:pt>
                  <c:pt idx="9">
                    <c:v>Investigación Básica</c:v>
                  </c:pt>
                  <c:pt idx="10">
                    <c:v>Investigación Aplicada</c:v>
                  </c:pt>
                  <c:pt idx="11">
                    <c:v>Desarrollo Experimental</c:v>
                  </c:pt>
                  <c:pt idx="12">
                    <c:v>Investigación Básica</c:v>
                  </c:pt>
                  <c:pt idx="13">
                    <c:v>Investigación Aplicada</c:v>
                  </c:pt>
                  <c:pt idx="14">
                    <c:v>Desarrollo Experimental</c:v>
                  </c:pt>
                  <c:pt idx="15">
                    <c:v>Investigación Básica</c:v>
                  </c:pt>
                  <c:pt idx="16">
                    <c:v>Investigación Aplicada</c:v>
                  </c:pt>
                  <c:pt idx="17">
                    <c:v>Desarrollo Experimental</c:v>
                  </c:pt>
                </c:lvl>
                <c:lvl>
                  <c:pt idx="0">
                    <c:v>2009</c:v>
                  </c:pt>
                  <c:pt idx="3">
                    <c:v>2010</c:v>
                  </c:pt>
                  <c:pt idx="6">
                    <c:v>2011</c:v>
                  </c:pt>
                  <c:pt idx="9">
                    <c:v>2012</c:v>
                  </c:pt>
                  <c:pt idx="12">
                    <c:v>2013</c:v>
                  </c:pt>
                  <c:pt idx="15">
                    <c:v>2014</c:v>
                  </c:pt>
                </c:lvl>
              </c:multiLvlStrCache>
            </c:multiLvlStrRef>
          </c:cat>
          <c:val>
            <c:numRef>
              <c:f>'C.9'!$H$18:$Y$18</c:f>
              <c:numCache>
                <c:formatCode>#,##0</c:formatCode>
                <c:ptCount val="18"/>
                <c:pt idx="0">
                  <c:v>8207.6515611061568</c:v>
                </c:pt>
                <c:pt idx="1">
                  <c:v>22318.094986619057</c:v>
                </c:pt>
                <c:pt idx="2">
                  <c:v>6186.1762533452229</c:v>
                </c:pt>
                <c:pt idx="3">
                  <c:v>8708.0128087831599</c:v>
                </c:pt>
                <c:pt idx="4">
                  <c:v>22582.292040256209</c:v>
                </c:pt>
                <c:pt idx="5">
                  <c:v>6165.6494053064953</c:v>
                </c:pt>
                <c:pt idx="6">
                  <c:v>10549.470722433462</c:v>
                </c:pt>
                <c:pt idx="7">
                  <c:v>21690.685218631148</c:v>
                </c:pt>
                <c:pt idx="8">
                  <c:v>7933.9424429657784</c:v>
                </c:pt>
                <c:pt idx="9">
                  <c:v>11141.387718446626</c:v>
                </c:pt>
                <c:pt idx="10">
                  <c:v>25812.0153980582</c:v>
                </c:pt>
                <c:pt idx="11">
                  <c:v>12918.567271844695</c:v>
                </c:pt>
                <c:pt idx="12">
                  <c:v>7208.1701763934998</c:v>
                </c:pt>
                <c:pt idx="13">
                  <c:v>9852.6282204981508</c:v>
                </c:pt>
                <c:pt idx="14">
                  <c:v>4192.3142521890995</c:v>
                </c:pt>
                <c:pt idx="15">
                  <c:v>8286.5225900000005</c:v>
                </c:pt>
                <c:pt idx="16">
                  <c:v>12382.98653</c:v>
                </c:pt>
                <c:pt idx="17">
                  <c:v>18477.322520000002</c:v>
                </c:pt>
              </c:numCache>
            </c:numRef>
          </c:val>
        </c:ser>
        <c:ser>
          <c:idx val="3"/>
          <c:order val="3"/>
          <c:tx>
            <c:strRef>
              <c:f>'C.9'!$G$19</c:f>
              <c:strCache>
                <c:ptCount val="1"/>
                <c:pt idx="0">
                  <c:v>Empresas</c:v>
                </c:pt>
              </c:strCache>
            </c:strRef>
          </c:tx>
          <c:invertIfNegative val="0"/>
          <c:cat>
            <c:multiLvlStrRef>
              <c:f>'C.9'!$H$14:$Y$15</c:f>
              <c:multiLvlStrCache>
                <c:ptCount val="18"/>
                <c:lvl>
                  <c:pt idx="0">
                    <c:v>Investigación Básica</c:v>
                  </c:pt>
                  <c:pt idx="1">
                    <c:v>Investigación Aplicada</c:v>
                  </c:pt>
                  <c:pt idx="2">
                    <c:v>Desarrollo Experimental</c:v>
                  </c:pt>
                  <c:pt idx="3">
                    <c:v>Investigación Básica</c:v>
                  </c:pt>
                  <c:pt idx="4">
                    <c:v>Investigación Aplicada</c:v>
                  </c:pt>
                  <c:pt idx="5">
                    <c:v>Desarrollo Experimental</c:v>
                  </c:pt>
                  <c:pt idx="6">
                    <c:v>Investigación Básica</c:v>
                  </c:pt>
                  <c:pt idx="7">
                    <c:v>Investigación Aplicada</c:v>
                  </c:pt>
                  <c:pt idx="8">
                    <c:v>Desarrollo Experimental</c:v>
                  </c:pt>
                  <c:pt idx="9">
                    <c:v>Investigación Básica</c:v>
                  </c:pt>
                  <c:pt idx="10">
                    <c:v>Investigación Aplicada</c:v>
                  </c:pt>
                  <c:pt idx="11">
                    <c:v>Desarrollo Experimental</c:v>
                  </c:pt>
                  <c:pt idx="12">
                    <c:v>Investigación Básica</c:v>
                  </c:pt>
                  <c:pt idx="13">
                    <c:v>Investigación Aplicada</c:v>
                  </c:pt>
                  <c:pt idx="14">
                    <c:v>Desarrollo Experimental</c:v>
                  </c:pt>
                  <c:pt idx="15">
                    <c:v>Investigación Básica</c:v>
                  </c:pt>
                  <c:pt idx="16">
                    <c:v>Investigación Aplicada</c:v>
                  </c:pt>
                  <c:pt idx="17">
                    <c:v>Desarrollo Experimental</c:v>
                  </c:pt>
                </c:lvl>
                <c:lvl>
                  <c:pt idx="0">
                    <c:v>2009</c:v>
                  </c:pt>
                  <c:pt idx="3">
                    <c:v>2010</c:v>
                  </c:pt>
                  <c:pt idx="6">
                    <c:v>2011</c:v>
                  </c:pt>
                  <c:pt idx="9">
                    <c:v>2012</c:v>
                  </c:pt>
                  <c:pt idx="12">
                    <c:v>2013</c:v>
                  </c:pt>
                  <c:pt idx="15">
                    <c:v>2014</c:v>
                  </c:pt>
                </c:lvl>
              </c:multiLvlStrCache>
            </c:multiLvlStrRef>
          </c:cat>
          <c:val>
            <c:numRef>
              <c:f>'C.9'!$H$19:$Y$19</c:f>
              <c:numCache>
                <c:formatCode>#,##0</c:formatCode>
                <c:ptCount val="18"/>
                <c:pt idx="0">
                  <c:v>5033.7464049955443</c:v>
                </c:pt>
                <c:pt idx="1">
                  <c:v>48260.36143621766</c:v>
                </c:pt>
                <c:pt idx="2">
                  <c:v>44245.749259589647</c:v>
                </c:pt>
                <c:pt idx="3">
                  <c:v>6388.3152790484901</c:v>
                </c:pt>
                <c:pt idx="4">
                  <c:v>45698.773101555344</c:v>
                </c:pt>
                <c:pt idx="5">
                  <c:v>42397.46404391581</c:v>
                </c:pt>
                <c:pt idx="6">
                  <c:v>6250.2286121672978</c:v>
                </c:pt>
                <c:pt idx="7">
                  <c:v>58113.606463878372</c:v>
                </c:pt>
                <c:pt idx="8">
                  <c:v>44395.342633079803</c:v>
                </c:pt>
                <c:pt idx="9">
                  <c:v>7775.4222038834941</c:v>
                </c:pt>
                <c:pt idx="10">
                  <c:v>68092.770650485429</c:v>
                </c:pt>
                <c:pt idx="11">
                  <c:v>55464.120184466025</c:v>
                </c:pt>
                <c:pt idx="12">
                  <c:v>14547.46332738037</c:v>
                </c:pt>
                <c:pt idx="13">
                  <c:v>47927.219128798075</c:v>
                </c:pt>
                <c:pt idx="14">
                  <c:v>89449.338794889103</c:v>
                </c:pt>
                <c:pt idx="15">
                  <c:v>12596.760846900001</c:v>
                </c:pt>
                <c:pt idx="16">
                  <c:v>47807.090080000002</c:v>
                </c:pt>
                <c:pt idx="17">
                  <c:v>95456.120451299998</c:v>
                </c:pt>
              </c:numCache>
            </c:numRef>
          </c:val>
        </c:ser>
        <c:dLbls>
          <c:showLegendKey val="0"/>
          <c:showVal val="0"/>
          <c:showCatName val="0"/>
          <c:showSerName val="0"/>
          <c:showPercent val="0"/>
          <c:showBubbleSize val="0"/>
        </c:dLbls>
        <c:gapWidth val="150"/>
        <c:axId val="239713408"/>
        <c:axId val="239713968"/>
      </c:barChart>
      <c:catAx>
        <c:axId val="239713408"/>
        <c:scaling>
          <c:orientation val="minMax"/>
        </c:scaling>
        <c:delete val="0"/>
        <c:axPos val="b"/>
        <c:majorGridlines>
          <c:spPr>
            <a:ln>
              <a:solidFill>
                <a:schemeClr val="bg1"/>
              </a:solidFill>
            </a:ln>
          </c:spPr>
        </c:majorGridlines>
        <c:numFmt formatCode="General" sourceLinked="0"/>
        <c:majorTickMark val="out"/>
        <c:minorTickMark val="none"/>
        <c:tickLblPos val="nextTo"/>
        <c:crossAx val="239713968"/>
        <c:crosses val="autoZero"/>
        <c:auto val="1"/>
        <c:lblAlgn val="ctr"/>
        <c:lblOffset val="100"/>
        <c:noMultiLvlLbl val="0"/>
      </c:catAx>
      <c:valAx>
        <c:axId val="239713968"/>
        <c:scaling>
          <c:orientation val="minMax"/>
        </c:scaling>
        <c:delete val="0"/>
        <c:axPos val="l"/>
        <c:majorGridlines>
          <c:spPr>
            <a:ln>
              <a:solidFill>
                <a:schemeClr val="bg1"/>
              </a:solidFill>
            </a:ln>
          </c:spPr>
        </c:majorGridlines>
        <c:numFmt formatCode="#,##0" sourceLinked="1"/>
        <c:majorTickMark val="out"/>
        <c:minorTickMark val="none"/>
        <c:tickLblPos val="nextTo"/>
        <c:crossAx val="239713408"/>
        <c:crosses val="autoZero"/>
        <c:crossBetween val="between"/>
      </c:valAx>
      <c:spPr>
        <a:solidFill>
          <a:schemeClr val="bg1">
            <a:lumMod val="75000"/>
          </a:schemeClr>
        </a:solidFill>
      </c:spPr>
    </c:plotArea>
    <c:legend>
      <c:legendPos val="r"/>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Tendencia Gasto en I+D Según Tipo de Investigación                                     </a:t>
            </a:r>
          </a:p>
          <a:p>
            <a:pPr>
              <a:defRPr sz="1600"/>
            </a:pPr>
            <a:r>
              <a:rPr lang="es-CL" sz="1600"/>
              <a:t>  (MM$ reales de 2014)</a:t>
            </a:r>
          </a:p>
        </c:rich>
      </c:tx>
      <c:layout>
        <c:manualLayout>
          <c:xMode val="edge"/>
          <c:yMode val="edge"/>
          <c:x val="0.21506745695796248"/>
          <c:y val="0"/>
        </c:manualLayout>
      </c:layout>
      <c:overlay val="0"/>
    </c:title>
    <c:autoTitleDeleted val="0"/>
    <c:plotArea>
      <c:layout>
        <c:manualLayout>
          <c:layoutTarget val="inner"/>
          <c:xMode val="edge"/>
          <c:yMode val="edge"/>
          <c:x val="7.7699777815300866E-2"/>
          <c:y val="0.10901792669146124"/>
          <c:w val="0.84444347687635357"/>
          <c:h val="0.84164359699198266"/>
        </c:manualLayout>
      </c:layout>
      <c:barChart>
        <c:barDir val="col"/>
        <c:grouping val="clustered"/>
        <c:varyColors val="0"/>
        <c:ser>
          <c:idx val="0"/>
          <c:order val="0"/>
          <c:tx>
            <c:strRef>
              <c:f>'C.9'!$AF$16</c:f>
              <c:strCache>
                <c:ptCount val="1"/>
                <c:pt idx="0">
                  <c:v>2009</c:v>
                </c:pt>
              </c:strCache>
            </c:strRef>
          </c:tx>
          <c:invertIfNegative val="0"/>
          <c:cat>
            <c:strRef>
              <c:f>'C.9'!$AE$17:$AE$19</c:f>
              <c:strCache>
                <c:ptCount val="3"/>
                <c:pt idx="0">
                  <c:v>Investigación Básica</c:v>
                </c:pt>
                <c:pt idx="1">
                  <c:v>Investigación Aplicada</c:v>
                </c:pt>
                <c:pt idx="2">
                  <c:v>Desarrollo Experimental</c:v>
                </c:pt>
              </c:strCache>
            </c:strRef>
          </c:cat>
          <c:val>
            <c:numRef>
              <c:f>'C.9'!$AF$17:$AF$19</c:f>
              <c:numCache>
                <c:formatCode>#,##0_ ;\-#,##0\ </c:formatCode>
                <c:ptCount val="3"/>
                <c:pt idx="0">
                  <c:v>66256.31970562003</c:v>
                </c:pt>
                <c:pt idx="1">
                  <c:v>134067.05526315785</c:v>
                </c:pt>
                <c:pt idx="2">
                  <c:v>73607.520669045494</c:v>
                </c:pt>
              </c:numCache>
            </c:numRef>
          </c:val>
        </c:ser>
        <c:ser>
          <c:idx val="1"/>
          <c:order val="1"/>
          <c:tx>
            <c:strRef>
              <c:f>'C.9'!$AG$16</c:f>
              <c:strCache>
                <c:ptCount val="1"/>
                <c:pt idx="0">
                  <c:v>2010</c:v>
                </c:pt>
              </c:strCache>
            </c:strRef>
          </c:tx>
          <c:invertIfNegative val="0"/>
          <c:cat>
            <c:strRef>
              <c:f>'C.9'!$AE$17:$AE$19</c:f>
              <c:strCache>
                <c:ptCount val="3"/>
                <c:pt idx="0">
                  <c:v>Investigación Básica</c:v>
                </c:pt>
                <c:pt idx="1">
                  <c:v>Investigación Aplicada</c:v>
                </c:pt>
                <c:pt idx="2">
                  <c:v>Desarrollo Experimental</c:v>
                </c:pt>
              </c:strCache>
            </c:strRef>
          </c:cat>
          <c:val>
            <c:numRef>
              <c:f>'C.9'!$AG$17:$AG$19</c:f>
              <c:numCache>
                <c:formatCode>#,##0_ ;\-#,##0\ </c:formatCode>
                <c:ptCount val="3"/>
                <c:pt idx="0">
                  <c:v>72088.337968892942</c:v>
                </c:pt>
                <c:pt idx="1">
                  <c:v>135333.80914913089</c:v>
                </c:pt>
                <c:pt idx="2">
                  <c:v>72686.295150960606</c:v>
                </c:pt>
              </c:numCache>
            </c:numRef>
          </c:val>
        </c:ser>
        <c:ser>
          <c:idx val="2"/>
          <c:order val="2"/>
          <c:tx>
            <c:strRef>
              <c:f>'C.9'!$AH$16</c:f>
              <c:strCache>
                <c:ptCount val="1"/>
                <c:pt idx="0">
                  <c:v>2011</c:v>
                </c:pt>
              </c:strCache>
            </c:strRef>
          </c:tx>
          <c:invertIfNegative val="0"/>
          <c:cat>
            <c:strRef>
              <c:f>'C.9'!$AE$17:$AE$19</c:f>
              <c:strCache>
                <c:ptCount val="3"/>
                <c:pt idx="0">
                  <c:v>Investigación Básica</c:v>
                </c:pt>
                <c:pt idx="1">
                  <c:v>Investigación Aplicada</c:v>
                </c:pt>
                <c:pt idx="2">
                  <c:v>Desarrollo Experimental</c:v>
                </c:pt>
              </c:strCache>
            </c:strRef>
          </c:cat>
          <c:val>
            <c:numRef>
              <c:f>'C.9'!$AH$17:$AH$19</c:f>
              <c:numCache>
                <c:formatCode>#,##0_ ;\-#,##0\ </c:formatCode>
                <c:ptCount val="3"/>
                <c:pt idx="0">
                  <c:v>77926.103184410618</c:v>
                </c:pt>
                <c:pt idx="1">
                  <c:v>140791.33935361222</c:v>
                </c:pt>
                <c:pt idx="2">
                  <c:v>68943.869486691983</c:v>
                </c:pt>
              </c:numCache>
            </c:numRef>
          </c:val>
        </c:ser>
        <c:ser>
          <c:idx val="3"/>
          <c:order val="3"/>
          <c:tx>
            <c:strRef>
              <c:f>'C.9'!$AI$16</c:f>
              <c:strCache>
                <c:ptCount val="1"/>
                <c:pt idx="0">
                  <c:v>2012</c:v>
                </c:pt>
              </c:strCache>
            </c:strRef>
          </c:tx>
          <c:invertIfNegative val="0"/>
          <c:cat>
            <c:strRef>
              <c:f>'C.9'!$AE$17:$AE$19</c:f>
              <c:strCache>
                <c:ptCount val="3"/>
                <c:pt idx="0">
                  <c:v>Investigación Básica</c:v>
                </c:pt>
                <c:pt idx="1">
                  <c:v>Investigación Aplicada</c:v>
                </c:pt>
                <c:pt idx="2">
                  <c:v>Desarrollo Experimental</c:v>
                </c:pt>
              </c:strCache>
            </c:strRef>
          </c:cat>
          <c:val>
            <c:numRef>
              <c:f>'C.9'!$AI$17:$AI$19</c:f>
              <c:numCache>
                <c:formatCode>#,##0_ ;\-#,##0\ </c:formatCode>
                <c:ptCount val="3"/>
                <c:pt idx="0">
                  <c:v>89750.707339805886</c:v>
                </c:pt>
                <c:pt idx="1">
                  <c:v>168624.82462135918</c:v>
                </c:pt>
                <c:pt idx="2">
                  <c:v>87644.885631067969</c:v>
                </c:pt>
              </c:numCache>
            </c:numRef>
          </c:val>
        </c:ser>
        <c:ser>
          <c:idx val="4"/>
          <c:order val="4"/>
          <c:tx>
            <c:strRef>
              <c:f>'C.9'!$AJ$16</c:f>
              <c:strCache>
                <c:ptCount val="1"/>
                <c:pt idx="0">
                  <c:v>2013</c:v>
                </c:pt>
              </c:strCache>
            </c:strRef>
          </c:tx>
          <c:invertIfNegative val="0"/>
          <c:cat>
            <c:strRef>
              <c:f>'C.9'!$AE$17:$AE$19</c:f>
              <c:strCache>
                <c:ptCount val="3"/>
                <c:pt idx="0">
                  <c:v>Investigación Básica</c:v>
                </c:pt>
                <c:pt idx="1">
                  <c:v>Investigación Aplicada</c:v>
                </c:pt>
                <c:pt idx="2">
                  <c:v>Desarrollo Experimental</c:v>
                </c:pt>
              </c:strCache>
            </c:strRef>
          </c:cat>
          <c:val>
            <c:numRef>
              <c:f>'C.9'!$AJ$17:$AJ$19</c:f>
              <c:numCache>
                <c:formatCode>#,##0_ ;\-#,##0\ </c:formatCode>
                <c:ptCount val="3"/>
                <c:pt idx="0">
                  <c:v>107744.55102251869</c:v>
                </c:pt>
                <c:pt idx="1">
                  <c:v>166162.12069611732</c:v>
                </c:pt>
                <c:pt idx="2">
                  <c:v>132055.18546357157</c:v>
                </c:pt>
              </c:numCache>
            </c:numRef>
          </c:val>
        </c:ser>
        <c:ser>
          <c:idx val="5"/>
          <c:order val="5"/>
          <c:tx>
            <c:strRef>
              <c:f>'C.9'!$AK$16</c:f>
              <c:strCache>
                <c:ptCount val="1"/>
                <c:pt idx="0">
                  <c:v>2014</c:v>
                </c:pt>
              </c:strCache>
            </c:strRef>
          </c:tx>
          <c:invertIfNegative val="0"/>
          <c:cat>
            <c:strRef>
              <c:f>'C.9'!$AE$17:$AE$19</c:f>
              <c:strCache>
                <c:ptCount val="3"/>
                <c:pt idx="0">
                  <c:v>Investigación Básica</c:v>
                </c:pt>
                <c:pt idx="1">
                  <c:v>Investigación Aplicada</c:v>
                </c:pt>
                <c:pt idx="2">
                  <c:v>Desarrollo Experimental</c:v>
                </c:pt>
              </c:strCache>
            </c:strRef>
          </c:cat>
          <c:val>
            <c:numRef>
              <c:f>'C.9'!$AK$17:$AK$19</c:f>
              <c:numCache>
                <c:formatCode>0</c:formatCode>
                <c:ptCount val="3"/>
                <c:pt idx="0">
                  <c:v>119491.52286190001</c:v>
                </c:pt>
                <c:pt idx="1">
                  <c:v>159731.5958108</c:v>
                </c:pt>
                <c:pt idx="2">
                  <c:v>145448.64921269999</c:v>
                </c:pt>
              </c:numCache>
            </c:numRef>
          </c:val>
        </c:ser>
        <c:dLbls>
          <c:showLegendKey val="0"/>
          <c:showVal val="0"/>
          <c:showCatName val="0"/>
          <c:showSerName val="0"/>
          <c:showPercent val="0"/>
          <c:showBubbleSize val="0"/>
        </c:dLbls>
        <c:gapWidth val="150"/>
        <c:axId val="239719568"/>
        <c:axId val="239720128"/>
      </c:barChart>
      <c:catAx>
        <c:axId val="239719568"/>
        <c:scaling>
          <c:orientation val="minMax"/>
        </c:scaling>
        <c:delete val="0"/>
        <c:axPos val="b"/>
        <c:numFmt formatCode="General" sourceLinked="1"/>
        <c:majorTickMark val="out"/>
        <c:minorTickMark val="none"/>
        <c:tickLblPos val="nextTo"/>
        <c:crossAx val="239720128"/>
        <c:crosses val="autoZero"/>
        <c:auto val="1"/>
        <c:lblAlgn val="ctr"/>
        <c:lblOffset val="100"/>
        <c:noMultiLvlLbl val="0"/>
      </c:catAx>
      <c:valAx>
        <c:axId val="239720128"/>
        <c:scaling>
          <c:orientation val="minMax"/>
        </c:scaling>
        <c:delete val="0"/>
        <c:axPos val="l"/>
        <c:majorGridlines>
          <c:spPr>
            <a:ln>
              <a:solidFill>
                <a:schemeClr val="bg1"/>
              </a:solidFill>
            </a:ln>
          </c:spPr>
        </c:majorGridlines>
        <c:numFmt formatCode="#,##0_ ;\-#,##0\ " sourceLinked="1"/>
        <c:majorTickMark val="out"/>
        <c:minorTickMark val="none"/>
        <c:tickLblPos val="nextTo"/>
        <c:crossAx val="239719568"/>
        <c:crosses val="autoZero"/>
        <c:crossBetween val="between"/>
      </c:valAx>
      <c:spPr>
        <a:solidFill>
          <a:schemeClr val="bg1">
            <a:lumMod val="75000"/>
          </a:schemeClr>
        </a:solidFill>
      </c:spPr>
    </c:plotArea>
    <c:legend>
      <c:legendPos val="r"/>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solidFill>
                  <a:sysClr val="windowText" lastClr="000000"/>
                </a:solidFill>
              </a:defRPr>
            </a:pPr>
            <a:r>
              <a:rPr lang="es-CL" sz="1600">
                <a:solidFill>
                  <a:sysClr val="windowText" lastClr="000000"/>
                </a:solidFill>
              </a:rPr>
              <a:t>Tendencia Gasto en I+D Según Área del Conocimiento (MM$ reales de 2014)</a:t>
            </a:r>
          </a:p>
        </c:rich>
      </c:tx>
      <c:layout>
        <c:manualLayout>
          <c:xMode val="edge"/>
          <c:yMode val="edge"/>
          <c:x val="0.16805790140981217"/>
          <c:y val="1.7572759179172268E-2"/>
        </c:manualLayout>
      </c:layout>
      <c:overlay val="0"/>
    </c:title>
    <c:autoTitleDeleted val="0"/>
    <c:plotArea>
      <c:layout>
        <c:manualLayout>
          <c:layoutTarget val="inner"/>
          <c:xMode val="edge"/>
          <c:yMode val="edge"/>
          <c:x val="6.3318511500824848E-2"/>
          <c:y val="8.0466805818935547E-2"/>
          <c:w val="0.86885024641329966"/>
          <c:h val="0.85791507514430076"/>
        </c:manualLayout>
      </c:layout>
      <c:barChart>
        <c:barDir val="col"/>
        <c:grouping val="clustered"/>
        <c:varyColors val="0"/>
        <c:ser>
          <c:idx val="0"/>
          <c:order val="0"/>
          <c:tx>
            <c:strRef>
              <c:f>'C.10'!$N$5</c:f>
              <c:strCache>
                <c:ptCount val="1"/>
                <c:pt idx="0">
                  <c:v>2009</c:v>
                </c:pt>
              </c:strCache>
            </c:strRef>
          </c:tx>
          <c:invertIfNegative val="0"/>
          <c:cat>
            <c:strRef>
              <c:f>'C.10'!$M$6:$M$11</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'C.10'!$N$6:$N$11</c:f>
              <c:numCache>
                <c:formatCode>#,##0</c:formatCode>
                <c:ptCount val="6"/>
                <c:pt idx="0">
                  <c:v>61967.769286351468</c:v>
                </c:pt>
                <c:pt idx="1">
                  <c:v>116163.4593131133</c:v>
                </c:pt>
                <c:pt idx="2">
                  <c:v>41919.898126672604</c:v>
                </c:pt>
                <c:pt idx="3">
                  <c:v>64517.179214986572</c:v>
                </c:pt>
                <c:pt idx="4">
                  <c:v>40374.928421052646</c:v>
                </c:pt>
                <c:pt idx="5">
                  <c:v>6990.1482604817065</c:v>
                </c:pt>
              </c:numCache>
            </c:numRef>
          </c:val>
        </c:ser>
        <c:ser>
          <c:idx val="1"/>
          <c:order val="1"/>
          <c:tx>
            <c:strRef>
              <c:f>'C.10'!$O$5</c:f>
              <c:strCache>
                <c:ptCount val="1"/>
                <c:pt idx="0">
                  <c:v>2010</c:v>
                </c:pt>
              </c:strCache>
            </c:strRef>
          </c:tx>
          <c:invertIfNegative val="0"/>
          <c:cat>
            <c:strRef>
              <c:f>'C.10'!$M$6:$M$11</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'C.10'!$O$6:$O$11</c:f>
              <c:numCache>
                <c:formatCode>#,##0</c:formatCode>
                <c:ptCount val="6"/>
                <c:pt idx="0">
                  <c:v>66922.071546203078</c:v>
                </c:pt>
                <c:pt idx="1">
                  <c:v>121933.08691674279</c:v>
                </c:pt>
                <c:pt idx="2">
                  <c:v>43486.74967978042</c:v>
                </c:pt>
                <c:pt idx="3">
                  <c:v>67004.656541628545</c:v>
                </c:pt>
                <c:pt idx="4">
                  <c:v>37602.307410795969</c:v>
                </c:pt>
                <c:pt idx="5">
                  <c:v>7397.1066788655062</c:v>
                </c:pt>
              </c:numCache>
            </c:numRef>
          </c:val>
        </c:ser>
        <c:ser>
          <c:idx val="2"/>
          <c:order val="2"/>
          <c:tx>
            <c:strRef>
              <c:f>'C.10'!$P$5</c:f>
              <c:strCache>
                <c:ptCount val="1"/>
                <c:pt idx="0">
                  <c:v>2011</c:v>
                </c:pt>
              </c:strCache>
            </c:strRef>
          </c:tx>
          <c:invertIfNegative val="0"/>
          <c:cat>
            <c:strRef>
              <c:f>'C.10'!$M$6:$M$11</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'C.10'!$P$6:$P$11</c:f>
              <c:numCache>
                <c:formatCode>#,##0</c:formatCode>
                <c:ptCount val="6"/>
                <c:pt idx="0">
                  <c:v>71709.153659695876</c:v>
                </c:pt>
                <c:pt idx="1">
                  <c:v>139227.22224334595</c:v>
                </c:pt>
                <c:pt idx="2">
                  <c:v>40111.700095056985</c:v>
                </c:pt>
                <c:pt idx="3">
                  <c:v>86403.950712927763</c:v>
                </c:pt>
                <c:pt idx="4">
                  <c:v>33132.451473383982</c:v>
                </c:pt>
                <c:pt idx="5">
                  <c:v>5274.7353612167326</c:v>
                </c:pt>
              </c:numCache>
            </c:numRef>
          </c:val>
        </c:ser>
        <c:ser>
          <c:idx val="3"/>
          <c:order val="3"/>
          <c:tx>
            <c:strRef>
              <c:f>'C.10'!$Q$5</c:f>
              <c:strCache>
                <c:ptCount val="1"/>
                <c:pt idx="0">
                  <c:v>2012</c:v>
                </c:pt>
              </c:strCache>
            </c:strRef>
          </c:tx>
          <c:invertIfNegative val="0"/>
          <c:cat>
            <c:strRef>
              <c:f>'C.10'!$M$6:$M$11</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'C.10'!$Q$6:$Q$11</c:f>
              <c:numCache>
                <c:formatCode>#,##0</c:formatCode>
                <c:ptCount val="6"/>
                <c:pt idx="0">
                  <c:v>80587.452339805895</c:v>
                </c:pt>
                <c:pt idx="1">
                  <c:v>164625.6473106796</c:v>
                </c:pt>
                <c:pt idx="2">
                  <c:v>46519.611077669899</c:v>
                </c:pt>
                <c:pt idx="3">
                  <c:v>87798.740398058289</c:v>
                </c:pt>
                <c:pt idx="4">
                  <c:v>39690.343359223232</c:v>
                </c:pt>
                <c:pt idx="5">
                  <c:v>6143.8762399581947</c:v>
                </c:pt>
              </c:numCache>
            </c:numRef>
          </c:val>
        </c:ser>
        <c:ser>
          <c:idx val="4"/>
          <c:order val="4"/>
          <c:tx>
            <c:strRef>
              <c:f>'C.10'!$R$5</c:f>
              <c:strCache>
                <c:ptCount val="1"/>
                <c:pt idx="0">
                  <c:v>2013</c:v>
                </c:pt>
              </c:strCache>
            </c:strRef>
          </c:tx>
          <c:invertIfNegative val="0"/>
          <c:cat>
            <c:strRef>
              <c:f>'C.10'!$M$6:$M$11</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'C.10'!$R$6:$R$11</c:f>
              <c:numCache>
                <c:formatCode>#,##0</c:formatCode>
                <c:ptCount val="6"/>
                <c:pt idx="0">
                  <c:v>93714.028019966703</c:v>
                </c:pt>
                <c:pt idx="1">
                  <c:v>190375.33552634367</c:v>
                </c:pt>
                <c:pt idx="2">
                  <c:v>60121.116900382331</c:v>
                </c:pt>
                <c:pt idx="3">
                  <c:v>69635.185358559553</c:v>
                </c:pt>
                <c:pt idx="4">
                  <c:v>47830.671910198595</c:v>
                </c:pt>
                <c:pt idx="5">
                  <c:v>25679.075062709449</c:v>
                </c:pt>
              </c:numCache>
            </c:numRef>
          </c:val>
        </c:ser>
        <c:ser>
          <c:idx val="5"/>
          <c:order val="5"/>
          <c:tx>
            <c:strRef>
              <c:f>'C.10'!$S$5</c:f>
              <c:strCache>
                <c:ptCount val="1"/>
                <c:pt idx="0">
                  <c:v>2014</c:v>
                </c:pt>
              </c:strCache>
            </c:strRef>
          </c:tx>
          <c:invertIfNegative val="0"/>
          <c:cat>
            <c:strRef>
              <c:f>'C.10'!$M$6:$M$11</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'C.10'!$S$6:$S$11</c:f>
              <c:numCache>
                <c:formatCode>#,##0</c:formatCode>
                <c:ptCount val="6"/>
                <c:pt idx="0">
                  <c:v>112612.95787499999</c:v>
                </c:pt>
                <c:pt idx="1">
                  <c:v>181605.91911848</c:v>
                </c:pt>
                <c:pt idx="2">
                  <c:v>64956.438984999993</c:v>
                </c:pt>
                <c:pt idx="3">
                  <c:v>78861.375402500009</c:v>
                </c:pt>
                <c:pt idx="4">
                  <c:v>43069.289473879995</c:v>
                </c:pt>
                <c:pt idx="5">
                  <c:v>11309.888579999999</c:v>
                </c:pt>
              </c:numCache>
            </c:numRef>
          </c:val>
        </c:ser>
        <c:dLbls>
          <c:showLegendKey val="0"/>
          <c:showVal val="0"/>
          <c:showCatName val="0"/>
          <c:showSerName val="0"/>
          <c:showPercent val="0"/>
          <c:showBubbleSize val="0"/>
        </c:dLbls>
        <c:gapWidth val="150"/>
        <c:axId val="239599840"/>
        <c:axId val="239600400"/>
      </c:barChart>
      <c:catAx>
        <c:axId val="239599840"/>
        <c:scaling>
          <c:orientation val="minMax"/>
        </c:scaling>
        <c:delete val="0"/>
        <c:axPos val="b"/>
        <c:numFmt formatCode="General" sourceLinked="0"/>
        <c:majorTickMark val="out"/>
        <c:minorTickMark val="none"/>
        <c:tickLblPos val="nextTo"/>
        <c:txPr>
          <a:bodyPr/>
          <a:lstStyle/>
          <a:p>
            <a:pPr>
              <a:defRPr>
                <a:solidFill>
                  <a:sysClr val="windowText" lastClr="000000"/>
                </a:solidFill>
              </a:defRPr>
            </a:pPr>
            <a:endParaRPr lang="es-CL"/>
          </a:p>
        </c:txPr>
        <c:crossAx val="239600400"/>
        <c:crosses val="autoZero"/>
        <c:auto val="1"/>
        <c:lblAlgn val="ctr"/>
        <c:lblOffset val="100"/>
        <c:noMultiLvlLbl val="0"/>
      </c:catAx>
      <c:valAx>
        <c:axId val="239600400"/>
        <c:scaling>
          <c:orientation val="minMax"/>
        </c:scaling>
        <c:delete val="0"/>
        <c:axPos val="l"/>
        <c:majorGridlines>
          <c:spPr>
            <a:ln>
              <a:solidFill>
                <a:schemeClr val="bg1"/>
              </a:solidFill>
            </a:ln>
          </c:spPr>
        </c:majorGridlines>
        <c:numFmt formatCode="#,##0" sourceLinked="1"/>
        <c:majorTickMark val="out"/>
        <c:minorTickMark val="none"/>
        <c:tickLblPos val="nextTo"/>
        <c:txPr>
          <a:bodyPr/>
          <a:lstStyle/>
          <a:p>
            <a:pPr>
              <a:defRPr>
                <a:solidFill>
                  <a:sysClr val="windowText" lastClr="000000"/>
                </a:solidFill>
              </a:defRPr>
            </a:pPr>
            <a:endParaRPr lang="es-CL"/>
          </a:p>
        </c:txPr>
        <c:crossAx val="239599840"/>
        <c:crosses val="autoZero"/>
        <c:crossBetween val="between"/>
      </c:valAx>
      <c:spPr>
        <a:solidFill>
          <a:schemeClr val="bg1">
            <a:lumMod val="75000"/>
          </a:schemeClr>
        </a:solidFill>
      </c:spPr>
    </c:plotArea>
    <c:legend>
      <c:legendPos val="r"/>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400"/>
            </a:pPr>
            <a:r>
              <a:rPr lang="en-US" sz="1400"/>
              <a:t>Estado: Gasto</a:t>
            </a:r>
            <a:r>
              <a:rPr lang="en-US" sz="1400" baseline="0"/>
              <a:t> I+D según área del conocimiento</a:t>
            </a:r>
            <a:r>
              <a:rPr lang="en-US" sz="1400"/>
              <a:t> (%)</a:t>
            </a:r>
          </a:p>
        </c:rich>
      </c:tx>
      <c:overlay val="0"/>
    </c:title>
    <c:autoTitleDeleted val="0"/>
    <c:plotArea>
      <c:layout/>
      <c:barChart>
        <c:barDir val="bar"/>
        <c:grouping val="clustered"/>
        <c:varyColors val="0"/>
        <c:ser>
          <c:idx val="0"/>
          <c:order val="0"/>
          <c:tx>
            <c:strRef>
              <c:f>'C.10'!$M$36</c:f>
              <c:strCache>
                <c:ptCount val="1"/>
                <c:pt idx="0">
                  <c:v>Estado</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'C.10'!$C$7:$H$7</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'C.10'!$N$36:$S$36</c:f>
              <c:numCache>
                <c:formatCode>0%</c:formatCode>
                <c:ptCount val="6"/>
                <c:pt idx="0">
                  <c:v>0.16034830855399723</c:v>
                </c:pt>
                <c:pt idx="1">
                  <c:v>0.1592557270726408</c:v>
                </c:pt>
                <c:pt idx="2">
                  <c:v>1.9864273398982887E-2</c:v>
                </c:pt>
                <c:pt idx="3">
                  <c:v>0.4788883842858358</c:v>
                </c:pt>
                <c:pt idx="4">
                  <c:v>0.16848650554000183</c:v>
                </c:pt>
                <c:pt idx="5">
                  <c:v>1.3156801148541387E-2</c:v>
                </c:pt>
              </c:numCache>
            </c:numRef>
          </c:val>
        </c:ser>
        <c:dLbls>
          <c:dLblPos val="inEnd"/>
          <c:showLegendKey val="0"/>
          <c:showVal val="1"/>
          <c:showCatName val="0"/>
          <c:showSerName val="0"/>
          <c:showPercent val="0"/>
          <c:showBubbleSize val="0"/>
        </c:dLbls>
        <c:gapWidth val="150"/>
        <c:axId val="239603200"/>
        <c:axId val="239603760"/>
      </c:barChart>
      <c:catAx>
        <c:axId val="239603200"/>
        <c:scaling>
          <c:orientation val="minMax"/>
        </c:scaling>
        <c:delete val="0"/>
        <c:axPos val="l"/>
        <c:numFmt formatCode="General" sourceLinked="0"/>
        <c:majorTickMark val="out"/>
        <c:minorTickMark val="none"/>
        <c:tickLblPos val="nextTo"/>
        <c:crossAx val="239603760"/>
        <c:crosses val="autoZero"/>
        <c:auto val="1"/>
        <c:lblAlgn val="ctr"/>
        <c:lblOffset val="100"/>
        <c:noMultiLvlLbl val="0"/>
      </c:catAx>
      <c:valAx>
        <c:axId val="239603760"/>
        <c:scaling>
          <c:orientation val="minMax"/>
          <c:max val="0.60000000000000009"/>
        </c:scaling>
        <c:delete val="0"/>
        <c:axPos val="b"/>
        <c:majorGridlines>
          <c:spPr>
            <a:ln>
              <a:solidFill>
                <a:schemeClr val="bg1"/>
              </a:solidFill>
            </a:ln>
          </c:spPr>
        </c:majorGridlines>
        <c:numFmt formatCode="0%" sourceLinked="1"/>
        <c:majorTickMark val="out"/>
        <c:minorTickMark val="none"/>
        <c:tickLblPos val="nextTo"/>
        <c:crossAx val="239603200"/>
        <c:crosses val="autoZero"/>
        <c:crossBetween val="between"/>
        <c:majorUnit val="0.1"/>
        <c:minorUnit val="0.1"/>
      </c:valAx>
      <c:spPr>
        <a:solidFill>
          <a:schemeClr val="bg1">
            <a:lumMod val="75000"/>
          </a:schemeClr>
        </a:solidFill>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664587169915412E-2"/>
          <c:y val="2.2985008229903466E-2"/>
          <c:w val="0.89953041798905142"/>
          <c:h val="0.76181888280914034"/>
        </c:manualLayout>
      </c:layout>
      <c:lineChart>
        <c:grouping val="standard"/>
        <c:varyColors val="0"/>
        <c:ser>
          <c:idx val="0"/>
          <c:order val="0"/>
          <c:tx>
            <c:strRef>
              <c:f>I.1!$C$10</c:f>
              <c:strCache>
                <c:ptCount val="1"/>
                <c:pt idx="0">
                  <c:v>Var. PIB Real</c:v>
                </c:pt>
              </c:strCache>
            </c:strRef>
          </c:tx>
          <c:dLbls>
            <c:dLbl>
              <c:idx val="2"/>
              <c:layout>
                <c:manualLayout>
                  <c:x val="-4.9200492004920049E-2"/>
                  <c:y val="-8.2862523540489647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8.1180811808118078E-2"/>
                  <c:y val="-4.8964218455743877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4.9200492004920139E-2"/>
                  <c:y val="-5.2730696798493411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9200492004919149E-3"/>
                  <c:y val="-2.2598870056497175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1"/>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I.1!$D$6:$K$6</c:f>
              <c:strCache>
                <c:ptCount val="8"/>
                <c:pt idx="0">
                  <c:v>2007</c:v>
                </c:pt>
                <c:pt idx="1">
                  <c:v>2008</c:v>
                </c:pt>
                <c:pt idx="2">
                  <c:v>2009</c:v>
                </c:pt>
                <c:pt idx="3">
                  <c:v>2010</c:v>
                </c:pt>
                <c:pt idx="4">
                  <c:v>2011</c:v>
                </c:pt>
                <c:pt idx="5">
                  <c:v>2012</c:v>
                </c:pt>
                <c:pt idx="6">
                  <c:v>2013</c:v>
                </c:pt>
                <c:pt idx="7">
                  <c:v>2014p</c:v>
                </c:pt>
              </c:strCache>
            </c:strRef>
          </c:cat>
          <c:val>
            <c:numRef>
              <c:f>I.1!$D$10:$K$10</c:f>
              <c:numCache>
                <c:formatCode>0.0%</c:formatCode>
                <c:ptCount val="8"/>
                <c:pt idx="1">
                  <c:v>3.2924553634517961E-2</c:v>
                </c:pt>
                <c:pt idx="2">
                  <c:v>-1.0364317788624011E-2</c:v>
                </c:pt>
                <c:pt idx="3">
                  <c:v>5.7537089031741928E-2</c:v>
                </c:pt>
                <c:pt idx="4">
                  <c:v>5.8396405845581922E-2</c:v>
                </c:pt>
                <c:pt idx="5">
                  <c:v>5.4571306174738377E-2</c:v>
                </c:pt>
                <c:pt idx="6">
                  <c:v>4.2261906245157466E-2</c:v>
                </c:pt>
                <c:pt idx="7">
                  <c:v>1.8940490237922658E-2</c:v>
                </c:pt>
              </c:numCache>
            </c:numRef>
          </c:val>
          <c:smooth val="0"/>
        </c:ser>
        <c:ser>
          <c:idx val="1"/>
          <c:order val="1"/>
          <c:tx>
            <c:strRef>
              <c:f>I.1!$C$17</c:f>
              <c:strCache>
                <c:ptCount val="1"/>
                <c:pt idx="0">
                  <c:v>Var. Gasto I+D Real</c:v>
                </c:pt>
              </c:strCache>
            </c:strRef>
          </c:tx>
          <c:dLbls>
            <c:dLbl>
              <c:idx val="2"/>
              <c:layout>
                <c:manualLayout>
                  <c:x val="-2.6320688090464693E-2"/>
                  <c:y val="-7.1563088512241052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4.9200492004920051E-3"/>
                  <c:y val="3.7664783427495289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7.6641605171531203E-17"/>
                  <c:y val="-3.7664783427495289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0952436284826241E-2"/>
                  <c:y val="-6.0263653483992499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1.2541498452309965E-2"/>
                  <c:y val="2.2598870056497175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2"/>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I.1!$D$6:$K$6</c:f>
              <c:strCache>
                <c:ptCount val="8"/>
                <c:pt idx="0">
                  <c:v>2007</c:v>
                </c:pt>
                <c:pt idx="1">
                  <c:v>2008</c:v>
                </c:pt>
                <c:pt idx="2">
                  <c:v>2009</c:v>
                </c:pt>
                <c:pt idx="3">
                  <c:v>2010</c:v>
                </c:pt>
                <c:pt idx="4">
                  <c:v>2011</c:v>
                </c:pt>
                <c:pt idx="5">
                  <c:v>2012</c:v>
                </c:pt>
                <c:pt idx="6">
                  <c:v>2013</c:v>
                </c:pt>
                <c:pt idx="7">
                  <c:v>2014p</c:v>
                </c:pt>
              </c:strCache>
            </c:strRef>
          </c:cat>
          <c:val>
            <c:numRef>
              <c:f>I.1!$D$17:$K$17</c:f>
              <c:numCache>
                <c:formatCode>0.0%</c:formatCode>
                <c:ptCount val="8"/>
                <c:pt idx="1">
                  <c:v>0.17034387083534841</c:v>
                </c:pt>
                <c:pt idx="2">
                  <c:v>-1.9329837252880178E-2</c:v>
                </c:pt>
                <c:pt idx="3">
                  <c:v>4.8269871615146176E-2</c:v>
                </c:pt>
                <c:pt idx="4">
                  <c:v>0.11749982064535125</c:v>
                </c:pt>
                <c:pt idx="5">
                  <c:v>8.1632974998895103E-2</c:v>
                </c:pt>
                <c:pt idx="6">
                  <c:v>0.10529439121261031</c:v>
                </c:pt>
                <c:pt idx="7">
                  <c:v>-4.6167282601615733E-3</c:v>
                </c:pt>
              </c:numCache>
            </c:numRef>
          </c:val>
          <c:smooth val="1"/>
        </c:ser>
        <c:dLbls>
          <c:showLegendKey val="0"/>
          <c:showVal val="0"/>
          <c:showCatName val="0"/>
          <c:showSerName val="0"/>
          <c:showPercent val="0"/>
          <c:showBubbleSize val="0"/>
        </c:dLbls>
        <c:marker val="1"/>
        <c:smooth val="0"/>
        <c:axId val="236768864"/>
        <c:axId val="236769424"/>
      </c:lineChart>
      <c:catAx>
        <c:axId val="236768864"/>
        <c:scaling>
          <c:orientation val="minMax"/>
        </c:scaling>
        <c:delete val="0"/>
        <c:axPos val="b"/>
        <c:numFmt formatCode="General" sourceLinked="1"/>
        <c:majorTickMark val="out"/>
        <c:minorTickMark val="none"/>
        <c:tickLblPos val="low"/>
        <c:crossAx val="236769424"/>
        <c:crosses val="autoZero"/>
        <c:auto val="1"/>
        <c:lblAlgn val="ctr"/>
        <c:lblOffset val="100"/>
        <c:noMultiLvlLbl val="0"/>
      </c:catAx>
      <c:valAx>
        <c:axId val="236769424"/>
        <c:scaling>
          <c:orientation val="minMax"/>
        </c:scaling>
        <c:delete val="0"/>
        <c:axPos val="l"/>
        <c:numFmt formatCode="0%" sourceLinked="0"/>
        <c:majorTickMark val="out"/>
        <c:minorTickMark val="none"/>
        <c:tickLblPos val="nextTo"/>
        <c:crossAx val="236768864"/>
        <c:crosses val="autoZero"/>
        <c:crossBetween val="between"/>
      </c:valAx>
      <c:spPr>
        <a:solidFill>
          <a:schemeClr val="bg1">
            <a:lumMod val="95000"/>
          </a:schemeClr>
        </a:solidFill>
      </c:spPr>
    </c:plotArea>
    <c:legend>
      <c:legendPos val="b"/>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r>
              <a:rPr lang="en-US" sz="1400"/>
              <a:t>Educación Superior</a:t>
            </a:r>
            <a:r>
              <a:rPr lang="en-US" sz="1400" b="1" i="0" baseline="0">
                <a:effectLst/>
              </a:rPr>
              <a:t>: Gasto I+D según área del conocimiento (%)</a:t>
            </a:r>
            <a:endParaRPr lang="es-CL" sz="1400">
              <a:effectLst/>
            </a:endParaRPr>
          </a:p>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endParaRPr lang="en-US" sz="1400"/>
          </a:p>
        </c:rich>
      </c:tx>
      <c:layout>
        <c:manualLayout>
          <c:xMode val="edge"/>
          <c:yMode val="edge"/>
          <c:x val="0.1940459770114942"/>
          <c:y val="4.2872454448017148E-2"/>
        </c:manualLayout>
      </c:layout>
      <c:overlay val="0"/>
    </c:title>
    <c:autoTitleDeleted val="0"/>
    <c:plotArea>
      <c:layout/>
      <c:barChart>
        <c:barDir val="bar"/>
        <c:grouping val="clustered"/>
        <c:varyColors val="0"/>
        <c:ser>
          <c:idx val="0"/>
          <c:order val="0"/>
          <c:tx>
            <c:strRef>
              <c:f>'C.10'!$M$37</c:f>
              <c:strCache>
                <c:ptCount val="1"/>
                <c:pt idx="0">
                  <c:v>Ed. Superior</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'C.10'!$C$7:$H$7</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'C.10'!$N$37:$S$37</c:f>
              <c:numCache>
                <c:formatCode>0%</c:formatCode>
                <c:ptCount val="6"/>
                <c:pt idx="0">
                  <c:v>0.30733965878706238</c:v>
                </c:pt>
                <c:pt idx="1">
                  <c:v>0.24797311777780573</c:v>
                </c:pt>
                <c:pt idx="2">
                  <c:v>0.19141057430918179</c:v>
                </c:pt>
                <c:pt idx="3">
                  <c:v>5.7034538733926068E-2</c:v>
                </c:pt>
                <c:pt idx="4">
                  <c:v>0.14975369055062782</c:v>
                </c:pt>
                <c:pt idx="5">
                  <c:v>4.6488419841396275E-2</c:v>
                </c:pt>
              </c:numCache>
            </c:numRef>
          </c:val>
        </c:ser>
        <c:dLbls>
          <c:dLblPos val="inEnd"/>
          <c:showLegendKey val="0"/>
          <c:showVal val="1"/>
          <c:showCatName val="0"/>
          <c:showSerName val="0"/>
          <c:showPercent val="0"/>
          <c:showBubbleSize val="0"/>
        </c:dLbls>
        <c:gapWidth val="150"/>
        <c:axId val="239606000"/>
        <c:axId val="239606560"/>
      </c:barChart>
      <c:catAx>
        <c:axId val="239606000"/>
        <c:scaling>
          <c:orientation val="minMax"/>
        </c:scaling>
        <c:delete val="0"/>
        <c:axPos val="l"/>
        <c:numFmt formatCode="General" sourceLinked="0"/>
        <c:majorTickMark val="out"/>
        <c:minorTickMark val="none"/>
        <c:tickLblPos val="nextTo"/>
        <c:crossAx val="239606560"/>
        <c:crosses val="autoZero"/>
        <c:auto val="1"/>
        <c:lblAlgn val="ctr"/>
        <c:lblOffset val="100"/>
        <c:noMultiLvlLbl val="0"/>
      </c:catAx>
      <c:valAx>
        <c:axId val="239606560"/>
        <c:scaling>
          <c:orientation val="minMax"/>
          <c:max val="0.60000000000000009"/>
        </c:scaling>
        <c:delete val="0"/>
        <c:axPos val="b"/>
        <c:majorGridlines>
          <c:spPr>
            <a:ln>
              <a:solidFill>
                <a:schemeClr val="bg1"/>
              </a:solidFill>
            </a:ln>
          </c:spPr>
        </c:majorGridlines>
        <c:numFmt formatCode="0%" sourceLinked="1"/>
        <c:majorTickMark val="out"/>
        <c:minorTickMark val="none"/>
        <c:tickLblPos val="nextTo"/>
        <c:crossAx val="239606000"/>
        <c:crosses val="autoZero"/>
        <c:crossBetween val="between"/>
      </c:valAx>
      <c:spPr>
        <a:solidFill>
          <a:schemeClr val="bg1">
            <a:lumMod val="75000"/>
          </a:schemeClr>
        </a:solidFill>
      </c:spPr>
    </c:plotArea>
    <c:plotVisOnly val="1"/>
    <c:dispBlanksAs val="gap"/>
    <c:showDLblsOverMax val="0"/>
  </c:chart>
  <c:spPr>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r>
              <a:rPr lang="en-US" sz="1400"/>
              <a:t>IPSFL</a:t>
            </a:r>
            <a:r>
              <a:rPr lang="en-US" sz="1400" b="1" i="0" baseline="0">
                <a:effectLst/>
              </a:rPr>
              <a:t>: Gasto I+D según área del conocimiento (%)</a:t>
            </a:r>
            <a:endParaRPr lang="es-CL" sz="1400">
              <a:effectLst/>
            </a:endParaRPr>
          </a:p>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endParaRPr lang="en-US" sz="1400"/>
          </a:p>
        </c:rich>
      </c:tx>
      <c:overlay val="0"/>
    </c:title>
    <c:autoTitleDeleted val="0"/>
    <c:plotArea>
      <c:layout/>
      <c:barChart>
        <c:barDir val="bar"/>
        <c:grouping val="clustered"/>
        <c:varyColors val="0"/>
        <c:ser>
          <c:idx val="0"/>
          <c:order val="0"/>
          <c:tx>
            <c:strRef>
              <c:f>'C.10'!$M$38</c:f>
              <c:strCache>
                <c:ptCount val="1"/>
                <c:pt idx="0">
                  <c:v>IPSFL</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'C.10'!$C$7:$H$7</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'C.10'!$N$38:$S$38</c:f>
              <c:numCache>
                <c:formatCode>0%</c:formatCode>
                <c:ptCount val="6"/>
                <c:pt idx="0">
                  <c:v>0.60675748604818125</c:v>
                </c:pt>
                <c:pt idx="1">
                  <c:v>0.19535838324568974</c:v>
                </c:pt>
                <c:pt idx="2">
                  <c:v>7.7696097076748669E-2</c:v>
                </c:pt>
                <c:pt idx="3">
                  <c:v>7.0251740166551266E-2</c:v>
                </c:pt>
                <c:pt idx="4">
                  <c:v>4.6398529635666673E-2</c:v>
                </c:pt>
                <c:pt idx="5">
                  <c:v>3.5377638271626402E-3</c:v>
                </c:pt>
              </c:numCache>
            </c:numRef>
          </c:val>
        </c:ser>
        <c:dLbls>
          <c:dLblPos val="inEnd"/>
          <c:showLegendKey val="0"/>
          <c:showVal val="1"/>
          <c:showCatName val="0"/>
          <c:showSerName val="0"/>
          <c:showPercent val="0"/>
          <c:showBubbleSize val="0"/>
        </c:dLbls>
        <c:gapWidth val="150"/>
        <c:axId val="239608800"/>
        <c:axId val="239609360"/>
      </c:barChart>
      <c:catAx>
        <c:axId val="239608800"/>
        <c:scaling>
          <c:orientation val="minMax"/>
        </c:scaling>
        <c:delete val="0"/>
        <c:axPos val="l"/>
        <c:numFmt formatCode="General" sourceLinked="0"/>
        <c:majorTickMark val="out"/>
        <c:minorTickMark val="none"/>
        <c:tickLblPos val="nextTo"/>
        <c:crossAx val="239609360"/>
        <c:crosses val="autoZero"/>
        <c:auto val="1"/>
        <c:lblAlgn val="ctr"/>
        <c:lblOffset val="100"/>
        <c:noMultiLvlLbl val="0"/>
      </c:catAx>
      <c:valAx>
        <c:axId val="239609360"/>
        <c:scaling>
          <c:orientation val="minMax"/>
          <c:max val="0.60000000000000009"/>
        </c:scaling>
        <c:delete val="0"/>
        <c:axPos val="b"/>
        <c:majorGridlines>
          <c:spPr>
            <a:ln>
              <a:solidFill>
                <a:schemeClr val="bg1"/>
              </a:solidFill>
            </a:ln>
          </c:spPr>
        </c:majorGridlines>
        <c:numFmt formatCode="0%" sourceLinked="1"/>
        <c:majorTickMark val="out"/>
        <c:minorTickMark val="none"/>
        <c:tickLblPos val="nextTo"/>
        <c:crossAx val="239608800"/>
        <c:crosses val="autoZero"/>
        <c:crossBetween val="between"/>
        <c:majorUnit val="0.1"/>
        <c:minorUnit val="0.1"/>
      </c:valAx>
      <c:spPr>
        <a:solidFill>
          <a:schemeClr val="bg1">
            <a:lumMod val="75000"/>
          </a:schemeClr>
        </a:solidFill>
      </c:spPr>
    </c:plotArea>
    <c:plotVisOnly val="1"/>
    <c:dispBlanksAs val="gap"/>
    <c:showDLblsOverMax val="0"/>
  </c:chart>
  <c:spPr>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r>
              <a:rPr lang="en-US" sz="1400"/>
              <a:t>Empresas</a:t>
            </a:r>
            <a:r>
              <a:rPr lang="en-US" sz="1400" b="1" i="0" baseline="0">
                <a:effectLst/>
              </a:rPr>
              <a:t>: Gasto I+D según área del conocimiento (%)</a:t>
            </a:r>
            <a:endParaRPr lang="es-CL" sz="1400">
              <a:effectLst/>
            </a:endParaRPr>
          </a:p>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endParaRPr lang="en-US" sz="1400"/>
          </a:p>
        </c:rich>
      </c:tx>
      <c:overlay val="0"/>
    </c:title>
    <c:autoTitleDeleted val="0"/>
    <c:plotArea>
      <c:layout/>
      <c:barChart>
        <c:barDir val="bar"/>
        <c:grouping val="clustered"/>
        <c:varyColors val="0"/>
        <c:ser>
          <c:idx val="0"/>
          <c:order val="0"/>
          <c:tx>
            <c:strRef>
              <c:f>'C.10'!$M$39</c:f>
              <c:strCache>
                <c:ptCount val="1"/>
                <c:pt idx="0">
                  <c:v>Empresas</c:v>
                </c:pt>
              </c:strCache>
            </c:strRef>
          </c:tx>
          <c:invertIfNegative val="0"/>
          <c:dLbls>
            <c:dLbl>
              <c:idx val="0"/>
              <c:layout>
                <c:manualLayout>
                  <c:x val="-5.0405466558059553E-2"/>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5.6355688297583494E-2"/>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5.6481129513983208E-2"/>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3"/>
              <c:layout>
                <c:manualLayout>
                  <c:x val="-6.9842157661326815E-2"/>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5"/>
              <c:layout>
                <c:manualLayout>
                  <c:x val="-5.5615349805412252E-2"/>
                  <c:y val="0"/>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'C.10'!$C$7:$H$7</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'C.10'!$N$39:$S$39</c:f>
              <c:numCache>
                <c:formatCode>0%</c:formatCode>
                <c:ptCount val="6"/>
                <c:pt idx="0">
                  <c:v>6.7055629898340977E-2</c:v>
                </c:pt>
                <c:pt idx="1">
                  <c:v>0.59987837186190329</c:v>
                </c:pt>
                <c:pt idx="2">
                  <c:v>0.10247603524615798</c:v>
                </c:pt>
                <c:pt idx="3">
                  <c:v>0.22319866529835375</c:v>
                </c:pt>
                <c:pt idx="4">
                  <c:v>4.8922517149799071E-3</c:v>
                </c:pt>
                <c:pt idx="5">
                  <c:v>2.4990459802639478E-3</c:v>
                </c:pt>
              </c:numCache>
            </c:numRef>
          </c:val>
        </c:ser>
        <c:dLbls>
          <c:dLblPos val="inEnd"/>
          <c:showLegendKey val="0"/>
          <c:showVal val="1"/>
          <c:showCatName val="0"/>
          <c:showSerName val="0"/>
          <c:showPercent val="0"/>
          <c:showBubbleSize val="0"/>
        </c:dLbls>
        <c:gapWidth val="150"/>
        <c:axId val="240897744"/>
        <c:axId val="240898304"/>
      </c:barChart>
      <c:catAx>
        <c:axId val="240897744"/>
        <c:scaling>
          <c:orientation val="minMax"/>
        </c:scaling>
        <c:delete val="0"/>
        <c:axPos val="l"/>
        <c:numFmt formatCode="General" sourceLinked="0"/>
        <c:majorTickMark val="out"/>
        <c:minorTickMark val="none"/>
        <c:tickLblPos val="nextTo"/>
        <c:crossAx val="240898304"/>
        <c:crosses val="autoZero"/>
        <c:auto val="1"/>
        <c:lblAlgn val="ctr"/>
        <c:lblOffset val="100"/>
        <c:noMultiLvlLbl val="0"/>
      </c:catAx>
      <c:valAx>
        <c:axId val="240898304"/>
        <c:scaling>
          <c:orientation val="minMax"/>
          <c:max val="0.60000000000000009"/>
        </c:scaling>
        <c:delete val="0"/>
        <c:axPos val="b"/>
        <c:majorGridlines>
          <c:spPr>
            <a:ln>
              <a:solidFill>
                <a:schemeClr val="bg1"/>
              </a:solidFill>
            </a:ln>
          </c:spPr>
        </c:majorGridlines>
        <c:numFmt formatCode="0%" sourceLinked="1"/>
        <c:majorTickMark val="out"/>
        <c:minorTickMark val="none"/>
        <c:tickLblPos val="nextTo"/>
        <c:crossAx val="240897744"/>
        <c:crosses val="autoZero"/>
        <c:crossBetween val="between"/>
        <c:majorUnit val="0.1"/>
        <c:minorUnit val="0.1"/>
      </c:valAx>
      <c:spPr>
        <a:solidFill>
          <a:schemeClr val="bg1">
            <a:lumMod val="75000"/>
          </a:schemeClr>
        </a:solidFill>
      </c:spPr>
    </c:plotArea>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400"/>
            </a:pPr>
            <a:r>
              <a:rPr lang="es-CL" sz="1400"/>
              <a:t>Tendencia</a:t>
            </a:r>
            <a:r>
              <a:rPr lang="es-CL" sz="1400" baseline="0"/>
              <a:t> gasto en I+D según objetivo socioeconómico (MM$ corrientes de 2014)</a:t>
            </a:r>
            <a:endParaRPr lang="es-CL" sz="1400"/>
          </a:p>
        </c:rich>
      </c:tx>
      <c:overlay val="0"/>
    </c:title>
    <c:autoTitleDeleted val="0"/>
    <c:plotArea>
      <c:layout>
        <c:manualLayout>
          <c:layoutTarget val="inner"/>
          <c:xMode val="edge"/>
          <c:yMode val="edge"/>
          <c:x val="0.20754290814842297"/>
          <c:y val="6.4562442397725947E-2"/>
          <c:w val="0.73009144940627002"/>
          <c:h val="0.89173301358749513"/>
        </c:manualLayout>
      </c:layout>
      <c:barChart>
        <c:barDir val="bar"/>
        <c:grouping val="clustered"/>
        <c:varyColors val="0"/>
        <c:ser>
          <c:idx val="4"/>
          <c:order val="0"/>
          <c:tx>
            <c:strRef>
              <c:f>'C.11'!$H$29</c:f>
              <c:strCache>
                <c:ptCount val="1"/>
                <c:pt idx="0">
                  <c:v>2014</c:v>
                </c:pt>
              </c:strCache>
            </c:strRef>
          </c:tx>
          <c:invertIfNegative val="0"/>
          <c:cat>
            <c:strRef>
              <c:f>'C.11'!$B$30:$B$42</c:f>
              <c:strCache>
                <c:ptCount val="13"/>
                <c:pt idx="0">
                  <c:v>Exploración y Explotación de la Tierra</c:v>
                </c:pt>
                <c:pt idx="1">
                  <c:v>Transporte, Telecomunicaciones y Otras Infraestructuras</c:v>
                </c:pt>
                <c:pt idx="2">
                  <c:v>Medio Ambiente</c:v>
                </c:pt>
                <c:pt idx="3">
                  <c:v>Energía</c:v>
                </c:pt>
                <c:pt idx="4">
                  <c:v>Agricultura</c:v>
                </c:pt>
                <c:pt idx="5">
                  <c:v>Producción Industrial y Tecnología</c:v>
                </c:pt>
                <c:pt idx="6">
                  <c:v>Exploración y Explotación del Espacio</c:v>
                </c:pt>
                <c:pt idx="7">
                  <c:v>Defensa</c:v>
                </c:pt>
                <c:pt idx="8">
                  <c:v>Salud</c:v>
                </c:pt>
                <c:pt idx="9">
                  <c:v>Educación</c:v>
                </c:pt>
                <c:pt idx="10">
                  <c:v>Cultura, Recreación, Religión y Medios de Comunicación Masivo</c:v>
                </c:pt>
                <c:pt idx="11">
                  <c:v>Sistemas Políticos y Sociales, Estructuras y Procesos</c:v>
                </c:pt>
                <c:pt idx="12">
                  <c:v>Avance General del Conocimiento</c:v>
                </c:pt>
              </c:strCache>
            </c:strRef>
          </c:cat>
          <c:val>
            <c:numRef>
              <c:f>'C.11'!$H$30:$H$42</c:f>
              <c:numCache>
                <c:formatCode>#,##0</c:formatCode>
                <c:ptCount val="13"/>
                <c:pt idx="0">
                  <c:v>49176.574649999995</c:v>
                </c:pt>
                <c:pt idx="1">
                  <c:v>11797.21552</c:v>
                </c:pt>
                <c:pt idx="2">
                  <c:v>36992.011667550003</c:v>
                </c:pt>
                <c:pt idx="3">
                  <c:v>14933.055704220002</c:v>
                </c:pt>
                <c:pt idx="4">
                  <c:v>74279.594717500004</c:v>
                </c:pt>
                <c:pt idx="5">
                  <c:v>95153.457801250013</c:v>
                </c:pt>
                <c:pt idx="6">
                  <c:v>6442.0366250000006</c:v>
                </c:pt>
                <c:pt idx="7">
                  <c:v>1425.2208499999997</c:v>
                </c:pt>
                <c:pt idx="8">
                  <c:v>47581.074957499994</c:v>
                </c:pt>
                <c:pt idx="9">
                  <c:v>20325.858356299999</c:v>
                </c:pt>
                <c:pt idx="10">
                  <c:v>2853.4260593800004</c:v>
                </c:pt>
                <c:pt idx="11">
                  <c:v>17122.987893129997</c:v>
                </c:pt>
                <c:pt idx="12">
                  <c:v>114333.35345975</c:v>
                </c:pt>
              </c:numCache>
            </c:numRef>
          </c:val>
        </c:ser>
        <c:dLbls>
          <c:showLegendKey val="0"/>
          <c:showVal val="0"/>
          <c:showCatName val="0"/>
          <c:showSerName val="0"/>
          <c:showPercent val="0"/>
          <c:showBubbleSize val="0"/>
        </c:dLbls>
        <c:gapWidth val="150"/>
        <c:axId val="240900544"/>
        <c:axId val="240901104"/>
      </c:barChart>
      <c:catAx>
        <c:axId val="240900544"/>
        <c:scaling>
          <c:orientation val="minMax"/>
        </c:scaling>
        <c:delete val="0"/>
        <c:axPos val="l"/>
        <c:numFmt formatCode="General" sourceLinked="0"/>
        <c:majorTickMark val="out"/>
        <c:minorTickMark val="none"/>
        <c:tickLblPos val="low"/>
        <c:txPr>
          <a:bodyPr rot="0" vert="horz"/>
          <a:lstStyle/>
          <a:p>
            <a:pPr>
              <a:defRPr sz="1000"/>
            </a:pPr>
            <a:endParaRPr lang="es-CL"/>
          </a:p>
        </c:txPr>
        <c:crossAx val="240901104"/>
        <c:crosses val="autoZero"/>
        <c:auto val="1"/>
        <c:lblAlgn val="ctr"/>
        <c:lblOffset val="100"/>
        <c:noMultiLvlLbl val="0"/>
      </c:catAx>
      <c:valAx>
        <c:axId val="240901104"/>
        <c:scaling>
          <c:orientation val="minMax"/>
        </c:scaling>
        <c:delete val="0"/>
        <c:axPos val="b"/>
        <c:majorGridlines>
          <c:spPr>
            <a:ln>
              <a:solidFill>
                <a:schemeClr val="bg1"/>
              </a:solidFill>
            </a:ln>
          </c:spPr>
        </c:majorGridlines>
        <c:numFmt formatCode="#,##0" sourceLinked="1"/>
        <c:majorTickMark val="out"/>
        <c:minorTickMark val="none"/>
        <c:tickLblPos val="nextTo"/>
        <c:crossAx val="240900544"/>
        <c:crosses val="autoZero"/>
        <c:crossBetween val="between"/>
      </c:valAx>
      <c:spPr>
        <a:solidFill>
          <a:schemeClr val="bg1">
            <a:lumMod val="75000"/>
          </a:schemeClr>
        </a:solidFill>
      </c:spPr>
    </c:plotArea>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a:pPr>
            <a:r>
              <a:rPr lang="es-CL"/>
              <a:t>Gasto financiado internacionalmente por continente</a:t>
            </a:r>
          </a:p>
          <a:p>
            <a:pPr>
              <a:defRPr/>
            </a:pPr>
            <a:r>
              <a:rPr lang="es-CL"/>
              <a:t> (MM$ reales de 2014)</a:t>
            </a:r>
          </a:p>
        </c:rich>
      </c:tx>
      <c:layout>
        <c:manualLayout>
          <c:xMode val="edge"/>
          <c:yMode val="edge"/>
          <c:x val="0.13997140810275097"/>
          <c:y val="2.0942402621263245E-2"/>
        </c:manualLayout>
      </c:layout>
      <c:overlay val="0"/>
    </c:title>
    <c:autoTitleDeleted val="0"/>
    <c:plotArea>
      <c:layout/>
      <c:barChart>
        <c:barDir val="bar"/>
        <c:grouping val="clustered"/>
        <c:varyColors val="0"/>
        <c:ser>
          <c:idx val="0"/>
          <c:order val="0"/>
          <c:invertIfNegative val="0"/>
          <c:cat>
            <c:strRef>
              <c:f>'C.12'!$C$7:$G$7</c:f>
              <c:strCache>
                <c:ptCount val="5"/>
                <c:pt idx="0">
                  <c:v>América</c:v>
                </c:pt>
                <c:pt idx="1">
                  <c:v>Asia</c:v>
                </c:pt>
                <c:pt idx="2">
                  <c:v>África</c:v>
                </c:pt>
                <c:pt idx="3">
                  <c:v>Europa</c:v>
                </c:pt>
                <c:pt idx="4">
                  <c:v>Oceanía</c:v>
                </c:pt>
              </c:strCache>
            </c:strRef>
          </c:cat>
          <c:val>
            <c:numRef>
              <c:f>'C.12'!$C$12:$G$12</c:f>
              <c:numCache>
                <c:formatCode>#,##0</c:formatCode>
                <c:ptCount val="5"/>
                <c:pt idx="0">
                  <c:v>7720.7430000000004</c:v>
                </c:pt>
                <c:pt idx="1">
                  <c:v>0</c:v>
                </c:pt>
                <c:pt idx="2">
                  <c:v>0</c:v>
                </c:pt>
                <c:pt idx="3">
                  <c:v>714.64</c:v>
                </c:pt>
                <c:pt idx="4">
                  <c:v>0</c:v>
                </c:pt>
              </c:numCache>
            </c:numRef>
          </c:val>
        </c:ser>
        <c:dLbls>
          <c:showLegendKey val="0"/>
          <c:showVal val="0"/>
          <c:showCatName val="0"/>
          <c:showSerName val="0"/>
          <c:showPercent val="0"/>
          <c:showBubbleSize val="0"/>
        </c:dLbls>
        <c:gapWidth val="150"/>
        <c:axId val="240903344"/>
        <c:axId val="240903904"/>
      </c:barChart>
      <c:catAx>
        <c:axId val="240903344"/>
        <c:scaling>
          <c:orientation val="minMax"/>
        </c:scaling>
        <c:delete val="0"/>
        <c:axPos val="l"/>
        <c:numFmt formatCode="General" sourceLinked="0"/>
        <c:majorTickMark val="out"/>
        <c:minorTickMark val="none"/>
        <c:tickLblPos val="nextTo"/>
        <c:crossAx val="240903904"/>
        <c:crosses val="autoZero"/>
        <c:auto val="1"/>
        <c:lblAlgn val="ctr"/>
        <c:lblOffset val="100"/>
        <c:noMultiLvlLbl val="0"/>
      </c:catAx>
      <c:valAx>
        <c:axId val="240903904"/>
        <c:scaling>
          <c:orientation val="minMax"/>
        </c:scaling>
        <c:delete val="0"/>
        <c:axPos val="b"/>
        <c:majorGridlines>
          <c:spPr>
            <a:ln>
              <a:solidFill>
                <a:schemeClr val="bg1"/>
              </a:solidFill>
            </a:ln>
          </c:spPr>
        </c:majorGridlines>
        <c:numFmt formatCode="#,##0" sourceLinked="1"/>
        <c:majorTickMark val="out"/>
        <c:minorTickMark val="none"/>
        <c:tickLblPos val="nextTo"/>
        <c:crossAx val="240903344"/>
        <c:crosses val="autoZero"/>
        <c:crossBetween val="between"/>
      </c:valAx>
      <c:spPr>
        <a:solidFill>
          <a:schemeClr val="bg1">
            <a:lumMod val="75000"/>
          </a:schemeClr>
        </a:solidFill>
      </c:spPr>
    </c:plotArea>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s-CL"/>
              <a:t>Tendencia Gasto en I+D Financiado Internacionalmente Según Unidad</a:t>
            </a:r>
            <a:r>
              <a:rPr lang="es-CL" baseline="0"/>
              <a:t> Declarante </a:t>
            </a:r>
            <a:r>
              <a:rPr lang="es-CL"/>
              <a:t>(MM% reales de 2014)</a:t>
            </a:r>
          </a:p>
        </c:rich>
      </c:tx>
      <c:layout>
        <c:manualLayout>
          <c:xMode val="edge"/>
          <c:yMode val="edge"/>
          <c:x val="9.5609741696171924E-2"/>
          <c:y val="1.4159289404354743E-2"/>
        </c:manualLayout>
      </c:layout>
      <c:overlay val="0"/>
    </c:title>
    <c:autoTitleDeleted val="0"/>
    <c:plotArea>
      <c:layout/>
      <c:barChart>
        <c:barDir val="col"/>
        <c:grouping val="clustered"/>
        <c:varyColors val="0"/>
        <c:ser>
          <c:idx val="0"/>
          <c:order val="0"/>
          <c:tx>
            <c:strRef>
              <c:f>'C.12'!$O$5</c:f>
              <c:strCache>
                <c:ptCount val="1"/>
                <c:pt idx="0">
                  <c:v>2009</c:v>
                </c:pt>
              </c:strCache>
            </c:strRef>
          </c:tx>
          <c:invertIfNegative val="0"/>
          <c:cat>
            <c:strRef>
              <c:f>'C.12'!$N$6:$N$9</c:f>
              <c:strCache>
                <c:ptCount val="4"/>
                <c:pt idx="0">
                  <c:v>Estado</c:v>
                </c:pt>
                <c:pt idx="1">
                  <c:v>Ed. Superior</c:v>
                </c:pt>
                <c:pt idx="2">
                  <c:v>IPSFL</c:v>
                </c:pt>
                <c:pt idx="3">
                  <c:v>Empresas</c:v>
                </c:pt>
              </c:strCache>
            </c:strRef>
          </c:cat>
          <c:val>
            <c:numRef>
              <c:f>'C.12'!$O$6:$O$9</c:f>
              <c:numCache>
                <c:formatCode>#,##0</c:formatCode>
                <c:ptCount val="4"/>
                <c:pt idx="0">
                  <c:v>328.51597680642266</c:v>
                </c:pt>
                <c:pt idx="1">
                  <c:v>4631.7604014272929</c:v>
                </c:pt>
                <c:pt idx="2">
                  <c:v>2521.0714897412995</c:v>
                </c:pt>
                <c:pt idx="3">
                  <c:v>280.2356735057981</c:v>
                </c:pt>
              </c:numCache>
            </c:numRef>
          </c:val>
        </c:ser>
        <c:ser>
          <c:idx val="1"/>
          <c:order val="1"/>
          <c:tx>
            <c:strRef>
              <c:f>'C.12'!$P$5</c:f>
              <c:strCache>
                <c:ptCount val="1"/>
                <c:pt idx="0">
                  <c:v>2010</c:v>
                </c:pt>
              </c:strCache>
            </c:strRef>
          </c:tx>
          <c:invertIfNegative val="0"/>
          <c:cat>
            <c:strRef>
              <c:f>'C.12'!$N$6:$N$9</c:f>
              <c:strCache>
                <c:ptCount val="4"/>
                <c:pt idx="0">
                  <c:v>Estado</c:v>
                </c:pt>
                <c:pt idx="1">
                  <c:v>Ed. Superior</c:v>
                </c:pt>
                <c:pt idx="2">
                  <c:v>IPSFL</c:v>
                </c:pt>
                <c:pt idx="3">
                  <c:v>Empresas</c:v>
                </c:pt>
              </c:strCache>
            </c:strRef>
          </c:cat>
          <c:val>
            <c:numRef>
              <c:f>'C.12'!$P$6:$P$9</c:f>
              <c:numCache>
                <c:formatCode>#,##0</c:formatCode>
                <c:ptCount val="4"/>
                <c:pt idx="0">
                  <c:v>417.10649588289101</c:v>
                </c:pt>
                <c:pt idx="1">
                  <c:v>4396.8669716376917</c:v>
                </c:pt>
                <c:pt idx="2">
                  <c:v>2845.5235132662392</c:v>
                </c:pt>
                <c:pt idx="3">
                  <c:v>149.48929551692595</c:v>
                </c:pt>
              </c:numCache>
            </c:numRef>
          </c:val>
        </c:ser>
        <c:ser>
          <c:idx val="2"/>
          <c:order val="2"/>
          <c:tx>
            <c:strRef>
              <c:f>'C.12'!$Q$5</c:f>
              <c:strCache>
                <c:ptCount val="1"/>
                <c:pt idx="0">
                  <c:v>2011</c:v>
                </c:pt>
              </c:strCache>
            </c:strRef>
          </c:tx>
          <c:invertIfNegative val="0"/>
          <c:cat>
            <c:strRef>
              <c:f>'C.12'!$N$6:$N$9</c:f>
              <c:strCache>
                <c:ptCount val="4"/>
                <c:pt idx="0">
                  <c:v>Estado</c:v>
                </c:pt>
                <c:pt idx="1">
                  <c:v>Ed. Superior</c:v>
                </c:pt>
                <c:pt idx="2">
                  <c:v>IPSFL</c:v>
                </c:pt>
                <c:pt idx="3">
                  <c:v>Empresas</c:v>
                </c:pt>
              </c:strCache>
            </c:strRef>
          </c:cat>
          <c:val>
            <c:numRef>
              <c:f>'C.12'!$Q$6:$Q$9</c:f>
              <c:numCache>
                <c:formatCode>#,##0</c:formatCode>
                <c:ptCount val="4"/>
                <c:pt idx="0">
                  <c:v>11.439686311787122</c:v>
                </c:pt>
                <c:pt idx="1">
                  <c:v>3400.7067490494328</c:v>
                </c:pt>
                <c:pt idx="2">
                  <c:v>2939.9993821292787</c:v>
                </c:pt>
                <c:pt idx="3">
                  <c:v>398.3090779467683</c:v>
                </c:pt>
              </c:numCache>
            </c:numRef>
          </c:val>
        </c:ser>
        <c:ser>
          <c:idx val="3"/>
          <c:order val="3"/>
          <c:tx>
            <c:strRef>
              <c:f>'C.12'!$R$5</c:f>
              <c:strCache>
                <c:ptCount val="1"/>
                <c:pt idx="0">
                  <c:v>2012</c:v>
                </c:pt>
              </c:strCache>
            </c:strRef>
          </c:tx>
          <c:invertIfNegative val="0"/>
          <c:cat>
            <c:strRef>
              <c:f>'C.12'!$N$6:$N$9</c:f>
              <c:strCache>
                <c:ptCount val="4"/>
                <c:pt idx="0">
                  <c:v>Estado</c:v>
                </c:pt>
                <c:pt idx="1">
                  <c:v>Ed. Superior</c:v>
                </c:pt>
                <c:pt idx="2">
                  <c:v>IPSFL</c:v>
                </c:pt>
                <c:pt idx="3">
                  <c:v>Empresas</c:v>
                </c:pt>
              </c:strCache>
            </c:strRef>
          </c:cat>
          <c:val>
            <c:numRef>
              <c:f>'C.12'!$R$6:$R$9</c:f>
              <c:numCache>
                <c:formatCode>#,##0</c:formatCode>
                <c:ptCount val="4"/>
                <c:pt idx="0">
                  <c:v>84.777116504854348</c:v>
                </c:pt>
                <c:pt idx="1">
                  <c:v>4283.8609611650481</c:v>
                </c:pt>
                <c:pt idx="2">
                  <c:v>2425.0441844660236</c:v>
                </c:pt>
                <c:pt idx="3">
                  <c:v>251.19145631067954</c:v>
                </c:pt>
              </c:numCache>
            </c:numRef>
          </c:val>
        </c:ser>
        <c:ser>
          <c:idx val="4"/>
          <c:order val="4"/>
          <c:tx>
            <c:strRef>
              <c:f>'C.12'!$S$5</c:f>
              <c:strCache>
                <c:ptCount val="1"/>
                <c:pt idx="0">
                  <c:v>2013</c:v>
                </c:pt>
              </c:strCache>
            </c:strRef>
          </c:tx>
          <c:invertIfNegative val="0"/>
          <c:cat>
            <c:strRef>
              <c:f>'C.12'!$N$6:$N$9</c:f>
              <c:strCache>
                <c:ptCount val="4"/>
                <c:pt idx="0">
                  <c:v>Estado</c:v>
                </c:pt>
                <c:pt idx="1">
                  <c:v>Ed. Superior</c:v>
                </c:pt>
                <c:pt idx="2">
                  <c:v>IPSFL</c:v>
                </c:pt>
                <c:pt idx="3">
                  <c:v>Empresas</c:v>
                </c:pt>
              </c:strCache>
            </c:strRef>
          </c:cat>
          <c:val>
            <c:numRef>
              <c:f>'C.12'!$S$6:$S$9</c:f>
              <c:numCache>
                <c:formatCode>#,##0</c:formatCode>
                <c:ptCount val="4"/>
                <c:pt idx="0">
                  <c:v>1126.90691655</c:v>
                </c:pt>
                <c:pt idx="1">
                  <c:v>5689.2367090600001</c:v>
                </c:pt>
                <c:pt idx="2">
                  <c:v>751.74846802000002</c:v>
                </c:pt>
                <c:pt idx="3">
                  <c:v>2993.9192758999998</c:v>
                </c:pt>
              </c:numCache>
            </c:numRef>
          </c:val>
        </c:ser>
        <c:ser>
          <c:idx val="5"/>
          <c:order val="5"/>
          <c:tx>
            <c:strRef>
              <c:f>'C.12'!$T$5</c:f>
              <c:strCache>
                <c:ptCount val="1"/>
                <c:pt idx="0">
                  <c:v>2014</c:v>
                </c:pt>
              </c:strCache>
            </c:strRef>
          </c:tx>
          <c:invertIfNegative val="0"/>
          <c:cat>
            <c:strRef>
              <c:f>'C.12'!$N$6:$N$9</c:f>
              <c:strCache>
                <c:ptCount val="4"/>
                <c:pt idx="0">
                  <c:v>Estado</c:v>
                </c:pt>
                <c:pt idx="1">
                  <c:v>Ed. Superior</c:v>
                </c:pt>
                <c:pt idx="2">
                  <c:v>IPSFL</c:v>
                </c:pt>
                <c:pt idx="3">
                  <c:v>Empresas</c:v>
                </c:pt>
              </c:strCache>
            </c:strRef>
          </c:cat>
          <c:val>
            <c:numRef>
              <c:f>'C.12'!$T$6:$T$9</c:f>
              <c:numCache>
                <c:formatCode>#,##0</c:formatCode>
                <c:ptCount val="4"/>
                <c:pt idx="0">
                  <c:v>949.83299999999997</c:v>
                </c:pt>
                <c:pt idx="1">
                  <c:v>4179.78</c:v>
                </c:pt>
                <c:pt idx="2">
                  <c:v>2287.0839999999998</c:v>
                </c:pt>
                <c:pt idx="3">
                  <c:v>3602.7849999999999</c:v>
                </c:pt>
              </c:numCache>
            </c:numRef>
          </c:val>
        </c:ser>
        <c:dLbls>
          <c:showLegendKey val="0"/>
          <c:showVal val="0"/>
          <c:showCatName val="0"/>
          <c:showSerName val="0"/>
          <c:showPercent val="0"/>
          <c:showBubbleSize val="0"/>
        </c:dLbls>
        <c:gapWidth val="150"/>
        <c:axId val="240908944"/>
        <c:axId val="240909504"/>
      </c:barChart>
      <c:catAx>
        <c:axId val="240908944"/>
        <c:scaling>
          <c:orientation val="minMax"/>
        </c:scaling>
        <c:delete val="0"/>
        <c:axPos val="b"/>
        <c:numFmt formatCode="General" sourceLinked="0"/>
        <c:majorTickMark val="out"/>
        <c:minorTickMark val="none"/>
        <c:tickLblPos val="nextTo"/>
        <c:crossAx val="240909504"/>
        <c:crosses val="autoZero"/>
        <c:auto val="1"/>
        <c:lblAlgn val="ctr"/>
        <c:lblOffset val="100"/>
        <c:noMultiLvlLbl val="0"/>
      </c:catAx>
      <c:valAx>
        <c:axId val="240909504"/>
        <c:scaling>
          <c:orientation val="minMax"/>
        </c:scaling>
        <c:delete val="0"/>
        <c:axPos val="l"/>
        <c:majorGridlines>
          <c:spPr>
            <a:ln>
              <a:solidFill>
                <a:schemeClr val="bg1"/>
              </a:solidFill>
            </a:ln>
          </c:spPr>
        </c:majorGridlines>
        <c:numFmt formatCode="#,##0" sourceLinked="1"/>
        <c:majorTickMark val="out"/>
        <c:minorTickMark val="none"/>
        <c:tickLblPos val="nextTo"/>
        <c:crossAx val="240908944"/>
        <c:crosses val="autoZero"/>
        <c:crossBetween val="between"/>
      </c:valAx>
      <c:spPr>
        <a:solidFill>
          <a:schemeClr val="bg1">
            <a:lumMod val="75000"/>
          </a:schemeClr>
        </a:solidFill>
      </c:spPr>
    </c:plotArea>
    <c:legend>
      <c:legendPos val="r"/>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Tendencia</a:t>
            </a:r>
            <a:r>
              <a:rPr lang="es-CL" sz="1600" baseline="0"/>
              <a:t> del gasto total en I+D según tamaño de la empresa (MM$ reales de 2014)</a:t>
            </a:r>
            <a:endParaRPr lang="es-CL" sz="1600"/>
          </a:p>
        </c:rich>
      </c:tx>
      <c:overlay val="0"/>
    </c:title>
    <c:autoTitleDeleted val="0"/>
    <c:plotArea>
      <c:layout>
        <c:manualLayout>
          <c:layoutTarget val="inner"/>
          <c:xMode val="edge"/>
          <c:yMode val="edge"/>
          <c:x val="9.2612189918086285E-2"/>
          <c:y val="0.14187651921740985"/>
          <c:w val="0.87291273090744292"/>
          <c:h val="0.71891090864425156"/>
        </c:manualLayout>
      </c:layout>
      <c:lineChart>
        <c:grouping val="standard"/>
        <c:varyColors val="0"/>
        <c:ser>
          <c:idx val="0"/>
          <c:order val="0"/>
          <c:tx>
            <c:strRef>
              <c:f>'C.13'!$B$33</c:f>
              <c:strCache>
                <c:ptCount val="1"/>
                <c:pt idx="0">
                  <c:v>Grandes</c:v>
                </c:pt>
              </c:strCache>
            </c:strRef>
          </c:tx>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spPr>
              <a:noFill/>
              <a:ln>
                <a:noFill/>
              </a:ln>
              <a:effectLst/>
            </c:spPr>
            <c:txPr>
              <a:bodyPr/>
              <a:lstStyle/>
              <a:p>
                <a:pPr>
                  <a:defRPr b="1">
                    <a:solidFill>
                      <a:srgbClr val="0070C0"/>
                    </a:solidFill>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('C.13'!$C$31,'C.13'!$E$31,'C.13'!$G$31,'C.13'!$I$31,'C.13'!$K$31,'C.13'!$M$31)</c:f>
              <c:strCache>
                <c:ptCount val="6"/>
                <c:pt idx="0">
                  <c:v>2009</c:v>
                </c:pt>
                <c:pt idx="1">
                  <c:v>2010</c:v>
                </c:pt>
                <c:pt idx="2">
                  <c:v>2011</c:v>
                </c:pt>
                <c:pt idx="3">
                  <c:v>2012</c:v>
                </c:pt>
                <c:pt idx="4">
                  <c:v>2013</c:v>
                </c:pt>
                <c:pt idx="5">
                  <c:v>2014p</c:v>
                </c:pt>
              </c:strCache>
            </c:strRef>
          </c:cat>
          <c:val>
            <c:numRef>
              <c:f>('C.13'!$C$33,'C.13'!$E$33,'C.13'!$G$33,'C.13'!$I$33,'C.13'!$K$33,'C.13'!$M$33)</c:f>
              <c:numCache>
                <c:formatCode>#,##0</c:formatCode>
                <c:ptCount val="6"/>
                <c:pt idx="0">
                  <c:v>101592.14848561285</c:v>
                </c:pt>
                <c:pt idx="1">
                  <c:v>107932.06376102472</c:v>
                </c:pt>
                <c:pt idx="2">
                  <c:v>135492.95088098844</c:v>
                </c:pt>
                <c:pt idx="3">
                  <c:v>149507.56077700001</c:v>
                </c:pt>
                <c:pt idx="4">
                  <c:v>166555.21186583</c:v>
                </c:pt>
                <c:pt idx="5">
                  <c:v>154697.83199999999</c:v>
                </c:pt>
              </c:numCache>
            </c:numRef>
          </c:val>
          <c:smooth val="0"/>
        </c:ser>
        <c:ser>
          <c:idx val="1"/>
          <c:order val="1"/>
          <c:tx>
            <c:strRef>
              <c:f>'C.13'!$B$34</c:f>
              <c:strCache>
                <c:ptCount val="1"/>
                <c:pt idx="0">
                  <c:v>Medianas</c:v>
                </c:pt>
              </c:strCache>
            </c:strRef>
          </c:tx>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spPr>
              <a:noFill/>
              <a:ln>
                <a:noFill/>
              </a:ln>
              <a:effectLst/>
            </c:spPr>
            <c:txPr>
              <a:bodyPr/>
              <a:lstStyle/>
              <a:p>
                <a:pPr>
                  <a:defRPr b="1">
                    <a:solidFill>
                      <a:srgbClr val="C00000"/>
                    </a:solidFill>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('C.13'!$C$31,'C.13'!$E$31,'C.13'!$G$31,'C.13'!$I$31,'C.13'!$K$31,'C.13'!$M$31)</c:f>
              <c:strCache>
                <c:ptCount val="6"/>
                <c:pt idx="0">
                  <c:v>2009</c:v>
                </c:pt>
                <c:pt idx="1">
                  <c:v>2010</c:v>
                </c:pt>
                <c:pt idx="2">
                  <c:v>2011</c:v>
                </c:pt>
                <c:pt idx="3">
                  <c:v>2012</c:v>
                </c:pt>
                <c:pt idx="4">
                  <c:v>2013</c:v>
                </c:pt>
                <c:pt idx="5">
                  <c:v>2014p</c:v>
                </c:pt>
              </c:strCache>
            </c:strRef>
          </c:cat>
          <c:val>
            <c:numRef>
              <c:f>('C.13'!$C$34,'C.13'!$E$34,'C.13'!$G$34,'C.13'!$I$34,'C.13'!$K$34,'C.13'!$M$34)</c:f>
              <c:numCache>
                <c:formatCode>#,##0</c:formatCode>
                <c:ptCount val="6"/>
                <c:pt idx="0">
                  <c:v>11080.900994387153</c:v>
                </c:pt>
                <c:pt idx="1">
                  <c:v>10975.308277236969</c:v>
                </c:pt>
                <c:pt idx="2">
                  <c:v>12769.193655299423</c:v>
                </c:pt>
                <c:pt idx="3">
                  <c:v>13815.806093700001</c:v>
                </c:pt>
                <c:pt idx="4">
                  <c:v>13168.044904530001</c:v>
                </c:pt>
                <c:pt idx="5">
                  <c:v>11646.029</c:v>
                </c:pt>
              </c:numCache>
            </c:numRef>
          </c:val>
          <c:smooth val="0"/>
        </c:ser>
        <c:ser>
          <c:idx val="2"/>
          <c:order val="2"/>
          <c:tx>
            <c:strRef>
              <c:f>'C.13'!$B$35</c:f>
              <c:strCache>
                <c:ptCount val="1"/>
                <c:pt idx="0">
                  <c:v>Pequeñas</c:v>
                </c:pt>
              </c:strCache>
            </c:strRef>
          </c:tx>
          <c:spPr>
            <a:ln>
              <a:solidFill>
                <a:srgbClr val="00B050"/>
              </a:solidFill>
            </a:ln>
          </c:spPr>
          <c:marker>
            <c:spPr>
              <a:solidFill>
                <a:srgbClr val="00B050"/>
              </a:solidFill>
            </c:spPr>
          </c:marker>
          <c:dLbls>
            <c:dLbl>
              <c:idx val="0"/>
              <c:layout>
                <c:manualLayout>
                  <c:x val="-4.1911383635964188E-2"/>
                  <c:y val="-1.844625664787300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1.3398193060307421E-2"/>
                  <c:y val="-3.6659116217404177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rgbClr val="00B050"/>
                    </a:solidFill>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('C.13'!$C$31,'C.13'!$E$31,'C.13'!$G$31,'C.13'!$I$31,'C.13'!$K$31,'C.13'!$M$31)</c:f>
              <c:strCache>
                <c:ptCount val="6"/>
                <c:pt idx="0">
                  <c:v>2009</c:v>
                </c:pt>
                <c:pt idx="1">
                  <c:v>2010</c:v>
                </c:pt>
                <c:pt idx="2">
                  <c:v>2011</c:v>
                </c:pt>
                <c:pt idx="3">
                  <c:v>2012</c:v>
                </c:pt>
                <c:pt idx="4">
                  <c:v>2013</c:v>
                </c:pt>
                <c:pt idx="5">
                  <c:v>2014p</c:v>
                </c:pt>
              </c:strCache>
            </c:strRef>
          </c:cat>
          <c:val>
            <c:numRef>
              <c:f>('C.13'!$C$35,'C.13'!$E$35,'C.13'!$G$35,'C.13'!$I$35,'C.13'!$K$35)</c:f>
              <c:numCache>
                <c:formatCode>#,##0</c:formatCode>
                <c:ptCount val="5"/>
                <c:pt idx="0">
                  <c:v>2778.6983053817153</c:v>
                </c:pt>
                <c:pt idx="1">
                  <c:v>3378.4945206184843</c:v>
                </c:pt>
                <c:pt idx="2">
                  <c:v>9138.8173680299406</c:v>
                </c:pt>
                <c:pt idx="3">
                  <c:v>7687.6216632800006</c:v>
                </c:pt>
                <c:pt idx="4">
                  <c:v>7999.0931965399996</c:v>
                </c:pt>
              </c:numCache>
            </c:numRef>
          </c:val>
          <c:smooth val="0"/>
        </c:ser>
        <c:ser>
          <c:idx val="3"/>
          <c:order val="3"/>
          <c:tx>
            <c:strRef>
              <c:f>'C.13'!$B$36</c:f>
              <c:strCache>
                <c:ptCount val="1"/>
                <c:pt idx="0">
                  <c:v>Microempresas</c:v>
                </c:pt>
              </c:strCache>
            </c:strRef>
          </c:tx>
          <c:marker>
            <c:symbol val="circle"/>
            <c:size val="9"/>
          </c:marker>
          <c:dLbls>
            <c:dLbl>
              <c:idx val="0"/>
              <c:layout>
                <c:manualLayout>
                  <c:x val="-9.1546885566242867E-2"/>
                  <c:y val="-9.1064297847657551E-3"/>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0"/>
                  <c:y val="1.3659644677148383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rgbClr val="7030A0"/>
                    </a:solidFill>
                  </a:defRPr>
                </a:pPr>
                <a:endParaRPr lang="es-CL"/>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('C.13'!$C$31,'C.13'!$E$31,'C.13'!$G$31,'C.13'!$I$31,'C.13'!$K$31,'C.13'!$M$31)</c:f>
              <c:strCache>
                <c:ptCount val="6"/>
                <c:pt idx="0">
                  <c:v>2009</c:v>
                </c:pt>
                <c:pt idx="1">
                  <c:v>2010</c:v>
                </c:pt>
                <c:pt idx="2">
                  <c:v>2011</c:v>
                </c:pt>
                <c:pt idx="3">
                  <c:v>2012</c:v>
                </c:pt>
                <c:pt idx="4">
                  <c:v>2013</c:v>
                </c:pt>
                <c:pt idx="5">
                  <c:v>2014p</c:v>
                </c:pt>
              </c:strCache>
            </c:strRef>
          </c:cat>
          <c:val>
            <c:numRef>
              <c:f>('C.13'!$C$36,'C.13'!$E$36,'C.13'!$G$36,'C.13'!$I$36,'C.13'!$K$36,'C.13'!$M$36)</c:f>
              <c:numCache>
                <c:formatCode>#,##0</c:formatCode>
                <c:ptCount val="6"/>
                <c:pt idx="0">
                  <c:v>1577.3215076999998</c:v>
                </c:pt>
                <c:pt idx="1">
                  <c:v>1752.1828182269037</c:v>
                </c:pt>
                <c:pt idx="2">
                  <c:v>567.71129740000003</c:v>
                </c:pt>
                <c:pt idx="3">
                  <c:v>899.55135320000011</c:v>
                </c:pt>
                <c:pt idx="4">
                  <c:v>8568.74437339</c:v>
                </c:pt>
                <c:pt idx="5">
                  <c:v>9803.9069999999992</c:v>
                </c:pt>
              </c:numCache>
            </c:numRef>
          </c:val>
          <c:smooth val="0"/>
        </c:ser>
        <c:dLbls>
          <c:dLblPos val="t"/>
          <c:showLegendKey val="0"/>
          <c:showVal val="1"/>
          <c:showCatName val="0"/>
          <c:showSerName val="0"/>
          <c:showPercent val="0"/>
          <c:showBubbleSize val="0"/>
        </c:dLbls>
        <c:marker val="1"/>
        <c:smooth val="0"/>
        <c:axId val="240793776"/>
        <c:axId val="240794336"/>
      </c:lineChart>
      <c:catAx>
        <c:axId val="240793776"/>
        <c:scaling>
          <c:orientation val="minMax"/>
        </c:scaling>
        <c:delete val="0"/>
        <c:axPos val="b"/>
        <c:numFmt formatCode="General" sourceLinked="1"/>
        <c:majorTickMark val="out"/>
        <c:minorTickMark val="none"/>
        <c:tickLblPos val="nextTo"/>
        <c:crossAx val="240794336"/>
        <c:crosses val="autoZero"/>
        <c:auto val="1"/>
        <c:lblAlgn val="ctr"/>
        <c:lblOffset val="100"/>
        <c:noMultiLvlLbl val="0"/>
      </c:catAx>
      <c:valAx>
        <c:axId val="240794336"/>
        <c:scaling>
          <c:orientation val="minMax"/>
        </c:scaling>
        <c:delete val="0"/>
        <c:axPos val="l"/>
        <c:majorGridlines>
          <c:spPr>
            <a:ln>
              <a:solidFill>
                <a:schemeClr val="bg1"/>
              </a:solidFill>
            </a:ln>
          </c:spPr>
        </c:majorGridlines>
        <c:numFmt formatCode="#,##0" sourceLinked="1"/>
        <c:majorTickMark val="out"/>
        <c:minorTickMark val="none"/>
        <c:tickLblPos val="nextTo"/>
        <c:crossAx val="240793776"/>
        <c:crosses val="autoZero"/>
        <c:crossBetween val="between"/>
      </c:valAx>
      <c:spPr>
        <a:solidFill>
          <a:schemeClr val="bg1">
            <a:lumMod val="75000"/>
          </a:schemeClr>
        </a:solidFill>
      </c:spPr>
    </c:plotArea>
    <c:legend>
      <c:legendPos val="r"/>
      <c:layout>
        <c:manualLayout>
          <c:xMode val="edge"/>
          <c:yMode val="edge"/>
          <c:x val="9.4388579586181021E-2"/>
          <c:y val="0.92413453348164931"/>
          <c:w val="0.83713782153911043"/>
          <c:h val="5.8349278054857887E-2"/>
        </c:manualLayout>
      </c:layout>
      <c:overlay val="0"/>
    </c:legend>
    <c:plotVisOnly val="1"/>
    <c:dispBlanksAs val="zero"/>
    <c:showDLblsOverMax val="0"/>
  </c:chart>
  <c:spPr>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Tendencia</a:t>
            </a:r>
            <a:r>
              <a:rPr lang="es-CL" sz="1600" baseline="0"/>
              <a:t> del gasto promedio en I+D según tamaño de la empresa (MM$ reales de 2014)</a:t>
            </a:r>
            <a:endParaRPr lang="es-CL" sz="1600"/>
          </a:p>
        </c:rich>
      </c:tx>
      <c:overlay val="0"/>
    </c:title>
    <c:autoTitleDeleted val="0"/>
    <c:plotArea>
      <c:layout>
        <c:manualLayout>
          <c:layoutTarget val="inner"/>
          <c:xMode val="edge"/>
          <c:yMode val="edge"/>
          <c:x val="9.4519456191075893E-2"/>
          <c:y val="0.14416320683732736"/>
          <c:w val="0.87291273090744292"/>
          <c:h val="0.71891090864425156"/>
        </c:manualLayout>
      </c:layout>
      <c:lineChart>
        <c:grouping val="standard"/>
        <c:varyColors val="0"/>
        <c:ser>
          <c:idx val="0"/>
          <c:order val="0"/>
          <c:tx>
            <c:strRef>
              <c:f>'C.13'!$B$33</c:f>
              <c:strCache>
                <c:ptCount val="1"/>
                <c:pt idx="0">
                  <c:v>Grandes</c:v>
                </c:pt>
              </c:strCache>
            </c:strRef>
          </c:tx>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spPr>
              <a:noFill/>
              <a:ln>
                <a:noFill/>
              </a:ln>
              <a:effectLst/>
            </c:spPr>
            <c:txPr>
              <a:bodyPr/>
              <a:lstStyle/>
              <a:p>
                <a:pPr>
                  <a:defRPr b="1">
                    <a:solidFill>
                      <a:srgbClr val="0070C0"/>
                    </a:solidFill>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('C.13'!$C$31,'C.13'!$E$31,'C.13'!$G$31,'C.13'!$I$31,'C.13'!$K$31,'C.13'!$M$31)</c:f>
              <c:strCache>
                <c:ptCount val="6"/>
                <c:pt idx="0">
                  <c:v>2009</c:v>
                </c:pt>
                <c:pt idx="1">
                  <c:v>2010</c:v>
                </c:pt>
                <c:pt idx="2">
                  <c:v>2011</c:v>
                </c:pt>
                <c:pt idx="3">
                  <c:v>2012</c:v>
                </c:pt>
                <c:pt idx="4">
                  <c:v>2013</c:v>
                </c:pt>
                <c:pt idx="5">
                  <c:v>2014p</c:v>
                </c:pt>
              </c:strCache>
            </c:strRef>
          </c:cat>
          <c:val>
            <c:numRef>
              <c:f>('C.13'!$D$33,'C.13'!$F$33,'C.13'!$H$33,'C.13'!$J$33,'C.13'!$L$33,'C.13'!$N$33)</c:f>
              <c:numCache>
                <c:formatCode>#,##0</c:formatCode>
                <c:ptCount val="6"/>
                <c:pt idx="0">
                  <c:v>518.32728819190231</c:v>
                </c:pt>
                <c:pt idx="1">
                  <c:v>518.90415269723428</c:v>
                </c:pt>
                <c:pt idx="2">
                  <c:v>519.13008000378716</c:v>
                </c:pt>
                <c:pt idx="3">
                  <c:v>515.543313024138</c:v>
                </c:pt>
                <c:pt idx="4">
                  <c:v>492.76689901133136</c:v>
                </c:pt>
                <c:pt idx="5">
                  <c:v>451.01408746355685</c:v>
                </c:pt>
              </c:numCache>
            </c:numRef>
          </c:val>
          <c:smooth val="0"/>
        </c:ser>
        <c:ser>
          <c:idx val="1"/>
          <c:order val="1"/>
          <c:tx>
            <c:strRef>
              <c:f>'C.13'!$B$34</c:f>
              <c:strCache>
                <c:ptCount val="1"/>
                <c:pt idx="0">
                  <c:v>Medianas</c:v>
                </c:pt>
              </c:strCache>
            </c:strRef>
          </c:tx>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4.2350612299644798E-2"/>
                  <c:y val="-5.6526199013762865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rgbClr val="C00000"/>
                    </a:solidFill>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('C.13'!$C$31,'C.13'!$E$31,'C.13'!$G$31,'C.13'!$I$31,'C.13'!$K$31,'C.13'!$M$31)</c:f>
              <c:strCache>
                <c:ptCount val="6"/>
                <c:pt idx="0">
                  <c:v>2009</c:v>
                </c:pt>
                <c:pt idx="1">
                  <c:v>2010</c:v>
                </c:pt>
                <c:pt idx="2">
                  <c:v>2011</c:v>
                </c:pt>
                <c:pt idx="3">
                  <c:v>2012</c:v>
                </c:pt>
                <c:pt idx="4">
                  <c:v>2013</c:v>
                </c:pt>
                <c:pt idx="5">
                  <c:v>2014p</c:v>
                </c:pt>
              </c:strCache>
            </c:strRef>
          </c:cat>
          <c:val>
            <c:numRef>
              <c:f>('C.13'!$D$34,'C.13'!$F$34,'C.13'!$H$34,'C.13'!$J$34,'C.13'!$L$34,'C.13'!$N$34)</c:f>
              <c:numCache>
                <c:formatCode>#,##0</c:formatCode>
                <c:ptCount val="6"/>
                <c:pt idx="0">
                  <c:v>181.65411466208448</c:v>
                </c:pt>
                <c:pt idx="1">
                  <c:v>182.92180462061614</c:v>
                </c:pt>
                <c:pt idx="2">
                  <c:v>150.22580770940499</c:v>
                </c:pt>
                <c:pt idx="3">
                  <c:v>150.17180536630437</c:v>
                </c:pt>
                <c:pt idx="4">
                  <c:v>144.70379015967035</c:v>
                </c:pt>
                <c:pt idx="5">
                  <c:v>138.64320238095237</c:v>
                </c:pt>
              </c:numCache>
            </c:numRef>
          </c:val>
          <c:smooth val="0"/>
        </c:ser>
        <c:ser>
          <c:idx val="2"/>
          <c:order val="2"/>
          <c:tx>
            <c:strRef>
              <c:f>'C.13'!$B$35</c:f>
              <c:strCache>
                <c:ptCount val="1"/>
                <c:pt idx="0">
                  <c:v>Pequeñas</c:v>
                </c:pt>
              </c:strCache>
            </c:strRef>
          </c:tx>
          <c:spPr>
            <a:ln>
              <a:solidFill>
                <a:srgbClr val="00B050"/>
              </a:solidFill>
            </a:ln>
          </c:spPr>
          <c:marker>
            <c:spPr>
              <a:solidFill>
                <a:srgbClr val="00B050"/>
              </a:solidFill>
            </c:spPr>
          </c:marker>
          <c:dLbls>
            <c:dLbl>
              <c:idx val="0"/>
              <c:layout>
                <c:manualLayout>
                  <c:x val="-4.352021202354811E-2"/>
                  <c:y val="-2.819057962546870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4.1897417329603177E-3"/>
                  <c:y val="1.72202543652005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7788294222919969E-2"/>
                  <c:y val="3.6351929777242747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rgbClr val="00B050"/>
                    </a:solidFill>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('C.13'!$C$31,'C.13'!$E$31,'C.13'!$G$31,'C.13'!$I$31,'C.13'!$K$31,'C.13'!$M$31)</c:f>
              <c:strCache>
                <c:ptCount val="6"/>
                <c:pt idx="0">
                  <c:v>2009</c:v>
                </c:pt>
                <c:pt idx="1">
                  <c:v>2010</c:v>
                </c:pt>
                <c:pt idx="2">
                  <c:v>2011</c:v>
                </c:pt>
                <c:pt idx="3">
                  <c:v>2012</c:v>
                </c:pt>
                <c:pt idx="4">
                  <c:v>2013</c:v>
                </c:pt>
                <c:pt idx="5">
                  <c:v>2014p</c:v>
                </c:pt>
              </c:strCache>
            </c:strRef>
          </c:cat>
          <c:val>
            <c:numRef>
              <c:f>('C.13'!$D$35,'C.13'!$F$35,'C.13'!$H$35,'C.13'!$J$35,'C.13'!$L$35,'C.13'!$N$35)</c:f>
              <c:numCache>
                <c:formatCode>#,##0</c:formatCode>
                <c:ptCount val="6"/>
                <c:pt idx="0">
                  <c:v>86.834322043178602</c:v>
                </c:pt>
                <c:pt idx="1">
                  <c:v>82.402305380938643</c:v>
                </c:pt>
                <c:pt idx="2">
                  <c:v>107.51549844741106</c:v>
                </c:pt>
                <c:pt idx="3">
                  <c:v>80.922333297684219</c:v>
                </c:pt>
                <c:pt idx="4">
                  <c:v>78.422482319019608</c:v>
                </c:pt>
                <c:pt idx="5">
                  <c:v>86.379384000000002</c:v>
                </c:pt>
              </c:numCache>
            </c:numRef>
          </c:val>
          <c:smooth val="0"/>
        </c:ser>
        <c:ser>
          <c:idx val="3"/>
          <c:order val="3"/>
          <c:tx>
            <c:strRef>
              <c:f>'C.13'!$B$36</c:f>
              <c:strCache>
                <c:ptCount val="1"/>
                <c:pt idx="0">
                  <c:v>Microempresas</c:v>
                </c:pt>
              </c:strCache>
            </c:strRef>
          </c:tx>
          <c:marker>
            <c:symbol val="circle"/>
            <c:size val="9"/>
          </c:marker>
          <c:dLbls>
            <c:dLbl>
              <c:idx val="0"/>
              <c:layout>
                <c:manualLayout>
                  <c:x val="-8.9383421176998989E-2"/>
                  <c:y val="7.7879367935792957E-3"/>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2.8515293030377618E-3"/>
                  <c:y val="-1.609313532288449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73653749435153E-2"/>
                  <c:y val="-2.081425168208113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rgbClr val="7030A0"/>
                    </a:solidFill>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('C.13'!$C$31,'C.13'!$E$31,'C.13'!$G$31,'C.13'!$I$31,'C.13'!$K$31,'C.13'!$M$31)</c:f>
              <c:strCache>
                <c:ptCount val="6"/>
                <c:pt idx="0">
                  <c:v>2009</c:v>
                </c:pt>
                <c:pt idx="1">
                  <c:v>2010</c:v>
                </c:pt>
                <c:pt idx="2">
                  <c:v>2011</c:v>
                </c:pt>
                <c:pt idx="3">
                  <c:v>2012</c:v>
                </c:pt>
                <c:pt idx="4">
                  <c:v>2013</c:v>
                </c:pt>
                <c:pt idx="5">
                  <c:v>2014p</c:v>
                </c:pt>
              </c:strCache>
            </c:strRef>
          </c:cat>
          <c:val>
            <c:numRef>
              <c:f>('C.13'!$D$36,'C.13'!$F$36,'C.13'!$H$36,'C.13'!$J$36,'C.13'!$L$36,'C.13'!$N$36)</c:f>
              <c:numCache>
                <c:formatCode>#,##0</c:formatCode>
                <c:ptCount val="6"/>
                <c:pt idx="0">
                  <c:v>262.88691794999994</c:v>
                </c:pt>
                <c:pt idx="1">
                  <c:v>292.03046970448395</c:v>
                </c:pt>
                <c:pt idx="2">
                  <c:v>28.385564870000003</c:v>
                </c:pt>
                <c:pt idx="3">
                  <c:v>40.888697872727278</c:v>
                </c:pt>
                <c:pt idx="4">
                  <c:v>109.85569709474359</c:v>
                </c:pt>
                <c:pt idx="5">
                  <c:v>101.07120618556701</c:v>
                </c:pt>
              </c:numCache>
            </c:numRef>
          </c:val>
          <c:smooth val="0"/>
        </c:ser>
        <c:dLbls>
          <c:dLblPos val="t"/>
          <c:showLegendKey val="0"/>
          <c:showVal val="1"/>
          <c:showCatName val="0"/>
          <c:showSerName val="0"/>
          <c:showPercent val="0"/>
          <c:showBubbleSize val="0"/>
        </c:dLbls>
        <c:marker val="1"/>
        <c:smooth val="0"/>
        <c:axId val="240798816"/>
        <c:axId val="240799376"/>
      </c:lineChart>
      <c:catAx>
        <c:axId val="240798816"/>
        <c:scaling>
          <c:orientation val="minMax"/>
        </c:scaling>
        <c:delete val="0"/>
        <c:axPos val="b"/>
        <c:numFmt formatCode="General" sourceLinked="1"/>
        <c:majorTickMark val="out"/>
        <c:minorTickMark val="none"/>
        <c:tickLblPos val="nextTo"/>
        <c:crossAx val="240799376"/>
        <c:crosses val="autoZero"/>
        <c:auto val="1"/>
        <c:lblAlgn val="ctr"/>
        <c:lblOffset val="100"/>
        <c:noMultiLvlLbl val="0"/>
      </c:catAx>
      <c:valAx>
        <c:axId val="240799376"/>
        <c:scaling>
          <c:orientation val="minMax"/>
        </c:scaling>
        <c:delete val="0"/>
        <c:axPos val="l"/>
        <c:majorGridlines>
          <c:spPr>
            <a:ln>
              <a:solidFill>
                <a:schemeClr val="bg1"/>
              </a:solidFill>
            </a:ln>
          </c:spPr>
        </c:majorGridlines>
        <c:numFmt formatCode="#,##0" sourceLinked="1"/>
        <c:majorTickMark val="out"/>
        <c:minorTickMark val="none"/>
        <c:tickLblPos val="nextTo"/>
        <c:crossAx val="240798816"/>
        <c:crosses val="autoZero"/>
        <c:crossBetween val="between"/>
      </c:valAx>
      <c:spPr>
        <a:solidFill>
          <a:schemeClr val="bg1">
            <a:lumMod val="75000"/>
          </a:schemeClr>
        </a:solidFill>
      </c:spPr>
    </c:plotArea>
    <c:legend>
      <c:legendPos val="r"/>
      <c:layout>
        <c:manualLayout>
          <c:xMode val="edge"/>
          <c:yMode val="edge"/>
          <c:x val="9.4388579586181021E-2"/>
          <c:y val="0.92413453348164931"/>
          <c:w val="0.83713782153911043"/>
          <c:h val="5.8349278054857887E-2"/>
        </c:manualLayout>
      </c:layout>
      <c:overlay val="0"/>
    </c:legend>
    <c:plotVisOnly val="1"/>
    <c:dispBlanksAs val="zero"/>
    <c:showDLblsOverMax val="0"/>
  </c:chart>
  <c:spPr>
    <a:ln>
      <a:noFill/>
    </a:ln>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Tendencia del gasto en I+D segun rango de edad de la empresa (MM$ reales 2014)</a:t>
            </a:r>
          </a:p>
        </c:rich>
      </c:tx>
      <c:overlay val="0"/>
    </c:title>
    <c:autoTitleDeleted val="0"/>
    <c:plotArea>
      <c:layout/>
      <c:lineChart>
        <c:grouping val="standard"/>
        <c:varyColors val="0"/>
        <c:ser>
          <c:idx val="0"/>
          <c:order val="0"/>
          <c:tx>
            <c:strRef>
              <c:f>'C.15'!$B$11</c:f>
              <c:strCache>
                <c:ptCount val="1"/>
                <c:pt idx="0">
                  <c:v>Entre 0 y 5 años</c:v>
                </c:pt>
              </c:strCache>
            </c:strRef>
          </c:tx>
          <c:cat>
            <c:strRef>
              <c:f>'C.15'!$C$9:$H$9</c:f>
              <c:strCache>
                <c:ptCount val="6"/>
                <c:pt idx="0">
                  <c:v>2009</c:v>
                </c:pt>
                <c:pt idx="1">
                  <c:v>2010</c:v>
                </c:pt>
                <c:pt idx="2">
                  <c:v>2011</c:v>
                </c:pt>
                <c:pt idx="3">
                  <c:v>2012</c:v>
                </c:pt>
                <c:pt idx="4">
                  <c:v>2013</c:v>
                </c:pt>
                <c:pt idx="5">
                  <c:v>2014p</c:v>
                </c:pt>
              </c:strCache>
            </c:strRef>
          </c:cat>
          <c:val>
            <c:numRef>
              <c:f>'C.15'!$C$11:$H$11</c:f>
              <c:numCache>
                <c:formatCode>#,##0</c:formatCode>
                <c:ptCount val="6"/>
                <c:pt idx="0">
                  <c:v>11892.851919899998</c:v>
                </c:pt>
                <c:pt idx="1">
                  <c:v>12993.578644000001</c:v>
                </c:pt>
                <c:pt idx="2">
                  <c:v>15536.577720000001</c:v>
                </c:pt>
                <c:pt idx="3">
                  <c:v>17551.7190587</c:v>
                </c:pt>
                <c:pt idx="4">
                  <c:v>23943.48370633</c:v>
                </c:pt>
                <c:pt idx="5">
                  <c:v>20219.615000000002</c:v>
                </c:pt>
              </c:numCache>
            </c:numRef>
          </c:val>
          <c:smooth val="0"/>
        </c:ser>
        <c:ser>
          <c:idx val="1"/>
          <c:order val="1"/>
          <c:tx>
            <c:strRef>
              <c:f>'C.15'!$B$12</c:f>
              <c:strCache>
                <c:ptCount val="1"/>
                <c:pt idx="0">
                  <c:v>Entre 6 y 10 años</c:v>
                </c:pt>
              </c:strCache>
            </c:strRef>
          </c:tx>
          <c:cat>
            <c:strRef>
              <c:f>'C.15'!$C$9:$H$9</c:f>
              <c:strCache>
                <c:ptCount val="6"/>
                <c:pt idx="0">
                  <c:v>2009</c:v>
                </c:pt>
                <c:pt idx="1">
                  <c:v>2010</c:v>
                </c:pt>
                <c:pt idx="2">
                  <c:v>2011</c:v>
                </c:pt>
                <c:pt idx="3">
                  <c:v>2012</c:v>
                </c:pt>
                <c:pt idx="4">
                  <c:v>2013</c:v>
                </c:pt>
                <c:pt idx="5">
                  <c:v>2014p</c:v>
                </c:pt>
              </c:strCache>
            </c:strRef>
          </c:cat>
          <c:val>
            <c:numRef>
              <c:f>'C.15'!$C$12:$H$12</c:f>
              <c:numCache>
                <c:formatCode>#,##0</c:formatCode>
                <c:ptCount val="6"/>
                <c:pt idx="0">
                  <c:v>23720.227719300001</c:v>
                </c:pt>
                <c:pt idx="1">
                  <c:v>27951.286688000004</c:v>
                </c:pt>
                <c:pt idx="2">
                  <c:v>11486.48292</c:v>
                </c:pt>
                <c:pt idx="3">
                  <c:v>9832.7935602799989</c:v>
                </c:pt>
                <c:pt idx="4">
                  <c:v>18269.859283200003</c:v>
                </c:pt>
                <c:pt idx="5">
                  <c:v>21056.867999999999</c:v>
                </c:pt>
              </c:numCache>
            </c:numRef>
          </c:val>
          <c:smooth val="0"/>
        </c:ser>
        <c:ser>
          <c:idx val="2"/>
          <c:order val="2"/>
          <c:tx>
            <c:strRef>
              <c:f>'C.15'!$B$13</c:f>
              <c:strCache>
                <c:ptCount val="1"/>
                <c:pt idx="0">
                  <c:v>Entre 10 y 20 años</c:v>
                </c:pt>
              </c:strCache>
            </c:strRef>
          </c:tx>
          <c:cat>
            <c:strRef>
              <c:f>'C.15'!$C$9:$H$9</c:f>
              <c:strCache>
                <c:ptCount val="6"/>
                <c:pt idx="0">
                  <c:v>2009</c:v>
                </c:pt>
                <c:pt idx="1">
                  <c:v>2010</c:v>
                </c:pt>
                <c:pt idx="2">
                  <c:v>2011</c:v>
                </c:pt>
                <c:pt idx="3">
                  <c:v>2012</c:v>
                </c:pt>
                <c:pt idx="4">
                  <c:v>2013</c:v>
                </c:pt>
                <c:pt idx="5">
                  <c:v>2014p</c:v>
                </c:pt>
              </c:strCache>
            </c:strRef>
          </c:cat>
          <c:val>
            <c:numRef>
              <c:f>'C.15'!$C$13:$H$13</c:f>
              <c:numCache>
                <c:formatCode>#,##0</c:formatCode>
                <c:ptCount val="6"/>
                <c:pt idx="0">
                  <c:v>40789.293462899994</c:v>
                </c:pt>
                <c:pt idx="1">
                  <c:v>35215.160520000005</c:v>
                </c:pt>
                <c:pt idx="2">
                  <c:v>29219.912264000002</c:v>
                </c:pt>
                <c:pt idx="3">
                  <c:v>59338.846153400002</c:v>
                </c:pt>
                <c:pt idx="4">
                  <c:v>57572.985946250003</c:v>
                </c:pt>
                <c:pt idx="5">
                  <c:v>39601.747000000003</c:v>
                </c:pt>
              </c:numCache>
            </c:numRef>
          </c:val>
          <c:smooth val="0"/>
        </c:ser>
        <c:ser>
          <c:idx val="3"/>
          <c:order val="3"/>
          <c:tx>
            <c:strRef>
              <c:f>'C.15'!$B$14</c:f>
              <c:strCache>
                <c:ptCount val="1"/>
                <c:pt idx="0">
                  <c:v>Mas de 20 años</c:v>
                </c:pt>
              </c:strCache>
            </c:strRef>
          </c:tx>
          <c:cat>
            <c:strRef>
              <c:f>'C.15'!$C$9:$H$9</c:f>
              <c:strCache>
                <c:ptCount val="6"/>
                <c:pt idx="0">
                  <c:v>2009</c:v>
                </c:pt>
                <c:pt idx="1">
                  <c:v>2010</c:v>
                </c:pt>
                <c:pt idx="2">
                  <c:v>2011</c:v>
                </c:pt>
                <c:pt idx="3">
                  <c:v>2012</c:v>
                </c:pt>
                <c:pt idx="4">
                  <c:v>2013</c:v>
                </c:pt>
                <c:pt idx="5">
                  <c:v>2014p</c:v>
                </c:pt>
              </c:strCache>
            </c:strRef>
          </c:cat>
          <c:val>
            <c:numRef>
              <c:f>'C.15'!$C$14:$H$14</c:f>
              <c:numCache>
                <c:formatCode>#,##0</c:formatCode>
                <c:ptCount val="6"/>
                <c:pt idx="0">
                  <c:v>41021.306007479994</c:v>
                </c:pt>
                <c:pt idx="1">
                  <c:v>48179.372058800007</c:v>
                </c:pt>
                <c:pt idx="2">
                  <c:v>79393.802488000001</c:v>
                </c:pt>
                <c:pt idx="3">
                  <c:v>87966.857753140008</c:v>
                </c:pt>
                <c:pt idx="4">
                  <c:v>96504.765404509992</c:v>
                </c:pt>
                <c:pt idx="5">
                  <c:v>106066.96100000001</c:v>
                </c:pt>
              </c:numCache>
            </c:numRef>
          </c:val>
          <c:smooth val="0"/>
        </c:ser>
        <c:dLbls>
          <c:showLegendKey val="0"/>
          <c:showVal val="0"/>
          <c:showCatName val="0"/>
          <c:showSerName val="0"/>
          <c:showPercent val="0"/>
          <c:showBubbleSize val="0"/>
        </c:dLbls>
        <c:marker val="1"/>
        <c:smooth val="0"/>
        <c:axId val="240803856"/>
        <c:axId val="240804416"/>
      </c:lineChart>
      <c:catAx>
        <c:axId val="240803856"/>
        <c:scaling>
          <c:orientation val="minMax"/>
        </c:scaling>
        <c:delete val="0"/>
        <c:axPos val="b"/>
        <c:numFmt formatCode="General" sourceLinked="1"/>
        <c:majorTickMark val="out"/>
        <c:minorTickMark val="none"/>
        <c:tickLblPos val="nextTo"/>
        <c:crossAx val="240804416"/>
        <c:crosses val="autoZero"/>
        <c:auto val="1"/>
        <c:lblAlgn val="ctr"/>
        <c:lblOffset val="100"/>
        <c:noMultiLvlLbl val="0"/>
      </c:catAx>
      <c:valAx>
        <c:axId val="240804416"/>
        <c:scaling>
          <c:orientation val="minMax"/>
        </c:scaling>
        <c:delete val="0"/>
        <c:axPos val="l"/>
        <c:majorGridlines>
          <c:spPr>
            <a:ln>
              <a:solidFill>
                <a:schemeClr val="bg1"/>
              </a:solidFill>
            </a:ln>
          </c:spPr>
        </c:majorGridlines>
        <c:numFmt formatCode="#,##0" sourceLinked="1"/>
        <c:majorTickMark val="out"/>
        <c:minorTickMark val="none"/>
        <c:tickLblPos val="nextTo"/>
        <c:crossAx val="240803856"/>
        <c:crosses val="autoZero"/>
        <c:crossBetween val="between"/>
      </c:valAx>
      <c:spPr>
        <a:solidFill>
          <a:schemeClr val="bg1">
            <a:lumMod val="75000"/>
          </a:schemeClr>
        </a:solidFill>
      </c:spPr>
    </c:plotArea>
    <c:legend>
      <c:legendPos val="r"/>
      <c:overlay val="0"/>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L"/>
              <a:t>Distribución gasto en I+D extramuros  total según actividad económica (2014)</a:t>
            </a:r>
          </a:p>
        </c:rich>
      </c:tx>
      <c:overlay val="0"/>
      <c:spPr>
        <a:ln>
          <a:noFill/>
        </a:ln>
      </c:spPr>
    </c:title>
    <c:autoTitleDeleted val="0"/>
    <c:view3D>
      <c:rotX val="30"/>
      <c:rotY val="0"/>
      <c:rAngAx val="0"/>
    </c:view3D>
    <c:floor>
      <c:thickness val="0"/>
    </c:floor>
    <c:sideWall>
      <c:thickness val="0"/>
    </c:sideWall>
    <c:backWall>
      <c:thickness val="0"/>
    </c:backWall>
    <c:plotArea>
      <c:layout>
        <c:manualLayout>
          <c:layoutTarget val="inner"/>
          <c:xMode val="edge"/>
          <c:yMode val="edge"/>
          <c:x val="2.824622701893309E-2"/>
          <c:y val="0.15177325085837287"/>
          <c:w val="0.5386458774302173"/>
          <c:h val="0.76551711909038545"/>
        </c:manualLayout>
      </c:layout>
      <c:pie3DChart>
        <c:varyColors val="1"/>
        <c:ser>
          <c:idx val="0"/>
          <c:order val="0"/>
          <c:explosion val="25"/>
          <c:dLbls>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delete val="1"/>
              <c:extLst>
                <c:ext xmlns:c15="http://schemas.microsoft.com/office/drawing/2012/chart" uri="{CE6537A1-D6FC-4f65-9D91-7224C49458BB}"/>
              </c:extLst>
            </c:dLbl>
            <c:dLbl>
              <c:idx val="9"/>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5"/>
              <c:delete val="1"/>
              <c:extLst>
                <c:ext xmlns:c15="http://schemas.microsoft.com/office/drawing/2012/chart" uri="{CE6537A1-D6FC-4f65-9D91-7224C49458BB}"/>
              </c:extLst>
            </c:dLbl>
            <c:dLbl>
              <c:idx val="16"/>
              <c:delete val="1"/>
              <c:extLst>
                <c:ext xmlns:c15="http://schemas.microsoft.com/office/drawing/2012/chart" uri="{CE6537A1-D6FC-4f65-9D91-7224C49458BB}"/>
              </c:extLst>
            </c:dLbl>
            <c:dLbl>
              <c:idx val="17"/>
              <c:delete val="1"/>
              <c:extLst>
                <c:ext xmlns:c15="http://schemas.microsoft.com/office/drawing/2012/chart" uri="{CE6537A1-D6FC-4f65-9D91-7224C49458BB}"/>
              </c:extLst>
            </c:dLbl>
            <c:dLbl>
              <c:idx val="18"/>
              <c:delete val="1"/>
              <c:extLst>
                <c:ext xmlns:c15="http://schemas.microsoft.com/office/drawing/2012/chart" uri="{CE6537A1-D6FC-4f65-9D91-7224C49458BB}"/>
              </c:extLst>
            </c:dLbl>
            <c:spPr>
              <a:noFill/>
              <a:ln>
                <a:noFill/>
              </a:ln>
              <a:effectLst/>
            </c:spPr>
            <c:txPr>
              <a:bodyPr/>
              <a:lstStyle/>
              <a:p>
                <a:pPr>
                  <a:defRPr b="1" baseline="0">
                    <a:solidFill>
                      <a:schemeClr val="tx1"/>
                    </a:solidFill>
                  </a:defRPr>
                </a:pPr>
                <a:endParaRPr lang="es-CL"/>
              </a:p>
            </c:txPr>
            <c:dLblPos val="inEnd"/>
            <c:showLegendKey val="0"/>
            <c:showVal val="1"/>
            <c:showCatName val="0"/>
            <c:showSerName val="0"/>
            <c:showPercent val="0"/>
            <c:showBubbleSize val="0"/>
            <c:showLeaderLines val="1"/>
            <c:extLst>
              <c:ext xmlns:c15="http://schemas.microsoft.com/office/drawing/2012/chart" uri="{CE6537A1-D6FC-4f65-9D91-7224C49458BB}"/>
            </c:extLst>
          </c:dLbls>
          <c:cat>
            <c:strRef>
              <c:f>'C.17'!$C$8:$C$26</c:f>
              <c:strCache>
                <c:ptCount val="19"/>
                <c:pt idx="0">
                  <c:v>Agricultura, ganadería, caza, silvicultura y pesca</c:v>
                </c:pt>
                <c:pt idx="1">
                  <c:v>Explotación de minas y canteras</c:v>
                </c:pt>
                <c:pt idx="2">
                  <c:v>Industrias manufactureras (*)</c:v>
                </c:pt>
                <c:pt idx="3">
                  <c:v>Suministro de electricidad, gas, vapor y aire acondicionado</c:v>
                </c:pt>
                <c:pt idx="4">
                  <c:v>Suministro de agua</c:v>
                </c:pt>
                <c:pt idx="5">
                  <c:v>Construcción</c:v>
                </c:pt>
                <c:pt idx="6">
                  <c:v>Comercio</c:v>
                </c:pt>
                <c:pt idx="7">
                  <c:v>Transporte y almacenamiento</c:v>
                </c:pt>
                <c:pt idx="8">
                  <c:v>Alojamiento y de servicio de comidas</c:v>
                </c:pt>
                <c:pt idx="9">
                  <c:v>Información y comunicaciones (**)</c:v>
                </c:pt>
                <c:pt idx="10">
                  <c:v>Actividades financieras y de seguros</c:v>
                </c:pt>
                <c:pt idx="11">
                  <c:v>Actividades inmobiliarias</c:v>
                </c:pt>
                <c:pt idx="12">
                  <c:v>Actividades profesionales, científicas y técnicas (***)</c:v>
                </c:pt>
                <c:pt idx="13">
                  <c:v>Actividades de servicios administrativos y de apoyo</c:v>
                </c:pt>
                <c:pt idx="14">
                  <c:v>Administración pública y defensa</c:v>
                </c:pt>
                <c:pt idx="15">
                  <c:v>Enseñanza</c:v>
                </c:pt>
                <c:pt idx="16">
                  <c:v>Actividades de atención de la salud </c:v>
                </c:pt>
                <c:pt idx="17">
                  <c:v>Actividades artísticas, de entretenimiento y recreativas</c:v>
                </c:pt>
                <c:pt idx="18">
                  <c:v>Otras actividades de servicios</c:v>
                </c:pt>
              </c:strCache>
            </c:strRef>
          </c:cat>
          <c:val>
            <c:numRef>
              <c:f>'C.17'!$I$8:$I$26</c:f>
              <c:numCache>
                <c:formatCode>0.0%</c:formatCode>
                <c:ptCount val="19"/>
                <c:pt idx="0">
                  <c:v>4.0003545481952923E-2</c:v>
                </c:pt>
                <c:pt idx="1">
                  <c:v>0.32377900629492107</c:v>
                </c:pt>
                <c:pt idx="2">
                  <c:v>0.1110228089570022</c:v>
                </c:pt>
                <c:pt idx="3">
                  <c:v>6.3230209166102291E-3</c:v>
                </c:pt>
                <c:pt idx="4">
                  <c:v>4.8347962430972113E-3</c:v>
                </c:pt>
                <c:pt idx="5">
                  <c:v>8.9497718750810359E-4</c:v>
                </c:pt>
                <c:pt idx="6">
                  <c:v>4.2811088355631965E-2</c:v>
                </c:pt>
                <c:pt idx="7">
                  <c:v>2.660784989547599E-3</c:v>
                </c:pt>
                <c:pt idx="8">
                  <c:v>0</c:v>
                </c:pt>
                <c:pt idx="9">
                  <c:v>9.678660258648903E-3</c:v>
                </c:pt>
                <c:pt idx="10">
                  <c:v>0.18126076685912573</c:v>
                </c:pt>
                <c:pt idx="11">
                  <c:v>0</c:v>
                </c:pt>
                <c:pt idx="12">
                  <c:v>0.15214541318982983</c:v>
                </c:pt>
                <c:pt idx="13">
                  <c:v>6.5489467726794588E-4</c:v>
                </c:pt>
                <c:pt idx="14">
                  <c:v>0.10767560554639952</c:v>
                </c:pt>
                <c:pt idx="15">
                  <c:v>3.1945796510698963E-3</c:v>
                </c:pt>
                <c:pt idx="16">
                  <c:v>8.3900290398401297E-3</c:v>
                </c:pt>
                <c:pt idx="17">
                  <c:v>1.7267275812069614E-3</c:v>
                </c:pt>
                <c:pt idx="18">
                  <c:v>2.9432947703398357E-3</c:v>
                </c:pt>
              </c:numCache>
            </c:numRef>
          </c:val>
        </c:ser>
        <c:dLbls>
          <c:dLblPos val="inEnd"/>
          <c:showLegendKey val="0"/>
          <c:showVal val="1"/>
          <c:showCatName val="0"/>
          <c:showSerName val="0"/>
          <c:showPercent val="0"/>
          <c:showBubbleSize val="0"/>
          <c:showLeaderLines val="1"/>
        </c:dLbls>
      </c:pie3DChart>
    </c:plotArea>
    <c:legend>
      <c:legendPos val="r"/>
      <c:layout>
        <c:manualLayout>
          <c:xMode val="edge"/>
          <c:yMode val="edge"/>
          <c:x val="0.60170327439887494"/>
          <c:y val="9.6500479024485969E-2"/>
          <c:w val="0.38832166456278405"/>
          <c:h val="0.87660550450662234"/>
        </c:manualLayout>
      </c:layout>
      <c:overlay val="0"/>
      <c:txPr>
        <a:bodyPr/>
        <a:lstStyle/>
        <a:p>
          <a:pPr rtl="0">
            <a:defRPr/>
          </a:pPr>
          <a:endParaRPr lang="es-CL"/>
        </a:p>
      </c:txPr>
    </c:legend>
    <c:plotVisOnly val="1"/>
    <c:dispBlanksAs val="gap"/>
    <c:showDLblsOverMax val="0"/>
  </c:chart>
  <c:spPr>
    <a:ln>
      <a:no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600"/>
            </a:pPr>
            <a:r>
              <a:rPr lang="es-CL" sz="1600"/>
              <a:t>Gasto I+D Países Seleccionados (% del PIB, 2013 o último año disponible)</a:t>
            </a:r>
          </a:p>
        </c:rich>
      </c:tx>
      <c:overlay val="0"/>
    </c:title>
    <c:autoTitleDeleted val="0"/>
    <c:plotArea>
      <c:layout>
        <c:manualLayout>
          <c:layoutTarget val="inner"/>
          <c:xMode val="edge"/>
          <c:yMode val="edge"/>
          <c:x val="0.15008745814900346"/>
          <c:y val="7.926112710231463E-2"/>
          <c:w val="0.82366025801545129"/>
          <c:h val="0.86232335006462557"/>
        </c:manualLayout>
      </c:layout>
      <c:barChart>
        <c:barDir val="bar"/>
        <c:grouping val="clustered"/>
        <c:varyColors val="0"/>
        <c:ser>
          <c:idx val="0"/>
          <c:order val="0"/>
          <c:invertIfNegative val="0"/>
          <c:dPt>
            <c:idx val="0"/>
            <c:invertIfNegative val="0"/>
            <c:bubble3D val="0"/>
            <c:spPr>
              <a:solidFill>
                <a:schemeClr val="accent6"/>
              </a:solidFill>
            </c:spPr>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Pt>
            <c:idx val="10"/>
            <c:invertIfNegative val="0"/>
            <c:bubble3D val="0"/>
          </c:dPt>
          <c:dPt>
            <c:idx val="11"/>
            <c:invertIfNegative val="0"/>
            <c:bubble3D val="0"/>
          </c:dPt>
          <c:dPt>
            <c:idx val="12"/>
            <c:invertIfNegative val="0"/>
            <c:bubble3D val="0"/>
          </c:dPt>
          <c:dPt>
            <c:idx val="13"/>
            <c:invertIfNegative val="0"/>
            <c:bubble3D val="0"/>
          </c:dPt>
          <c:dPt>
            <c:idx val="14"/>
            <c:invertIfNegative val="0"/>
            <c:bubble3D val="0"/>
          </c:dPt>
          <c:dPt>
            <c:idx val="15"/>
            <c:invertIfNegative val="0"/>
            <c:bubble3D val="0"/>
          </c:dPt>
          <c:dPt>
            <c:idx val="16"/>
            <c:invertIfNegative val="0"/>
            <c:bubble3D val="0"/>
          </c:dPt>
          <c:dPt>
            <c:idx val="17"/>
            <c:invertIfNegative val="0"/>
            <c:bubble3D val="0"/>
          </c:dPt>
          <c:dPt>
            <c:idx val="18"/>
            <c:invertIfNegative val="0"/>
            <c:bubble3D val="0"/>
          </c:dPt>
          <c:dPt>
            <c:idx val="19"/>
            <c:invertIfNegative val="0"/>
            <c:bubble3D val="0"/>
            <c:spPr>
              <a:solidFill>
                <a:schemeClr val="accent6"/>
              </a:solidFill>
              <a:ln>
                <a:solidFill>
                  <a:schemeClr val="accent6"/>
                </a:solidFill>
              </a:ln>
            </c:spPr>
          </c:dPt>
          <c:dPt>
            <c:idx val="20"/>
            <c:invertIfNegative val="0"/>
            <c:bubble3D val="0"/>
            <c:spPr>
              <a:solidFill>
                <a:schemeClr val="accent1"/>
              </a:solidFill>
            </c:spPr>
          </c:dPt>
          <c:dPt>
            <c:idx val="21"/>
            <c:invertIfNegative val="0"/>
            <c:bubble3D val="0"/>
          </c:dPt>
          <c:dPt>
            <c:idx val="22"/>
            <c:invertIfNegative val="0"/>
            <c:bubble3D val="0"/>
          </c:dPt>
          <c:dPt>
            <c:idx val="23"/>
            <c:invertIfNegative val="0"/>
            <c:bubble3D val="0"/>
          </c:dPt>
          <c:dPt>
            <c:idx val="24"/>
            <c:invertIfNegative val="0"/>
            <c:bubble3D val="0"/>
          </c:dPt>
          <c:dPt>
            <c:idx val="25"/>
            <c:invertIfNegative val="0"/>
            <c:bubble3D val="0"/>
          </c:dPt>
          <c:dPt>
            <c:idx val="26"/>
            <c:invertIfNegative val="0"/>
            <c:bubble3D val="0"/>
          </c:dPt>
          <c:dPt>
            <c:idx val="27"/>
            <c:invertIfNegative val="0"/>
            <c:bubble3D val="0"/>
          </c:dPt>
          <c:dPt>
            <c:idx val="28"/>
            <c:invertIfNegative val="0"/>
            <c:bubble3D val="0"/>
          </c:dPt>
          <c:dPt>
            <c:idx val="29"/>
            <c:invertIfNegative val="0"/>
            <c:bubble3D val="0"/>
          </c:dPt>
          <c:dPt>
            <c:idx val="30"/>
            <c:invertIfNegative val="0"/>
            <c:bubble3D val="0"/>
          </c:dPt>
          <c:dPt>
            <c:idx val="31"/>
            <c:invertIfNegative val="0"/>
            <c:bubble3D val="0"/>
          </c:dPt>
          <c:dPt>
            <c:idx val="32"/>
            <c:invertIfNegative val="0"/>
            <c:bubble3D val="0"/>
          </c:dPt>
          <c:dPt>
            <c:idx val="33"/>
            <c:invertIfNegative val="0"/>
            <c:bubble3D val="0"/>
          </c:dPt>
          <c:dPt>
            <c:idx val="34"/>
            <c:invertIfNegative val="0"/>
            <c:bubble3D val="0"/>
          </c:dPt>
          <c:dPt>
            <c:idx val="35"/>
            <c:invertIfNegative val="0"/>
            <c:bubble3D val="0"/>
          </c:dPt>
          <c:dPt>
            <c:idx val="36"/>
            <c:invertIfNegative val="0"/>
            <c:bubble3D val="0"/>
          </c:dPt>
          <c:dPt>
            <c:idx val="37"/>
            <c:invertIfNegative val="0"/>
            <c:bubble3D val="0"/>
          </c:dPt>
          <c:dPt>
            <c:idx val="38"/>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delete val="1"/>
              <c:extLst>
                <c:ext xmlns:c15="http://schemas.microsoft.com/office/drawing/2012/chart" uri="{CE6537A1-D6FC-4f65-9D91-7224C49458BB}"/>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dLbl>
              <c:idx val="13"/>
              <c:delete val="1"/>
              <c:extLst>
                <c:ext xmlns:c15="http://schemas.microsoft.com/office/drawing/2012/chart" uri="{CE6537A1-D6FC-4f65-9D91-7224C49458BB}"/>
              </c:extLst>
            </c:dLbl>
            <c:dLbl>
              <c:idx val="14"/>
              <c:delete val="1"/>
              <c:extLst>
                <c:ext xmlns:c15="http://schemas.microsoft.com/office/drawing/2012/chart" uri="{CE6537A1-D6FC-4f65-9D91-7224C49458BB}"/>
              </c:extLst>
            </c:dLbl>
            <c:dLbl>
              <c:idx val="15"/>
              <c:delete val="1"/>
              <c:extLst>
                <c:ext xmlns:c15="http://schemas.microsoft.com/office/drawing/2012/chart" uri="{CE6537A1-D6FC-4f65-9D91-7224C49458BB}"/>
              </c:extLst>
            </c:dLbl>
            <c:dLbl>
              <c:idx val="16"/>
              <c:delete val="1"/>
              <c:extLst>
                <c:ext xmlns:c15="http://schemas.microsoft.com/office/drawing/2012/chart" uri="{CE6537A1-D6FC-4f65-9D91-7224C49458BB}"/>
              </c:extLst>
            </c:dLbl>
            <c:dLbl>
              <c:idx val="17"/>
              <c:delete val="1"/>
              <c:extLst>
                <c:ext xmlns:c15="http://schemas.microsoft.com/office/drawing/2012/chart" uri="{CE6537A1-D6FC-4f65-9D91-7224C49458BB}"/>
              </c:extLst>
            </c:dLbl>
            <c:dLbl>
              <c:idx val="18"/>
              <c:delete val="1"/>
              <c:extLst>
                <c:ext xmlns:c15="http://schemas.microsoft.com/office/drawing/2012/chart" uri="{CE6537A1-D6FC-4f65-9D91-7224C49458BB}"/>
              </c:extLst>
            </c:dLbl>
            <c:dLbl>
              <c:idx val="20"/>
              <c:delete val="1"/>
              <c:extLst>
                <c:ext xmlns:c15="http://schemas.microsoft.com/office/drawing/2012/chart" uri="{CE6537A1-D6FC-4f65-9D91-7224C49458BB}"/>
              </c:extLst>
            </c:dLbl>
            <c:dLbl>
              <c:idx val="21"/>
              <c:delete val="1"/>
              <c:extLst>
                <c:ext xmlns:c15="http://schemas.microsoft.com/office/drawing/2012/chart" uri="{CE6537A1-D6FC-4f65-9D91-7224C49458BB}"/>
              </c:extLst>
            </c:dLbl>
            <c:dLbl>
              <c:idx val="22"/>
              <c:delete val="1"/>
              <c:extLst>
                <c:ext xmlns:c15="http://schemas.microsoft.com/office/drawing/2012/chart" uri="{CE6537A1-D6FC-4f65-9D91-7224C49458BB}"/>
              </c:extLst>
            </c:dLbl>
            <c:dLbl>
              <c:idx val="23"/>
              <c:delete val="1"/>
              <c:extLst>
                <c:ext xmlns:c15="http://schemas.microsoft.com/office/drawing/2012/chart" uri="{CE6537A1-D6FC-4f65-9D91-7224C49458BB}"/>
              </c:extLst>
            </c:dLbl>
            <c:dLbl>
              <c:idx val="24"/>
              <c:delete val="1"/>
              <c:extLst>
                <c:ext xmlns:c15="http://schemas.microsoft.com/office/drawing/2012/chart" uri="{CE6537A1-D6FC-4f65-9D91-7224C49458BB}"/>
              </c:extLst>
            </c:dLbl>
            <c:dLbl>
              <c:idx val="25"/>
              <c:delete val="1"/>
              <c:extLst>
                <c:ext xmlns:c15="http://schemas.microsoft.com/office/drawing/2012/chart" uri="{CE6537A1-D6FC-4f65-9D91-7224C49458BB}"/>
              </c:extLst>
            </c:dLbl>
            <c:dLbl>
              <c:idx val="26"/>
              <c:delete val="1"/>
              <c:extLst>
                <c:ext xmlns:c15="http://schemas.microsoft.com/office/drawing/2012/chart" uri="{CE6537A1-D6FC-4f65-9D91-7224C49458BB}"/>
              </c:extLst>
            </c:dLbl>
            <c:dLbl>
              <c:idx val="27"/>
              <c:delete val="1"/>
              <c:extLst>
                <c:ext xmlns:c15="http://schemas.microsoft.com/office/drawing/2012/chart" uri="{CE6537A1-D6FC-4f65-9D91-7224C49458BB}"/>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I.2!$B$8:$B$36</c:f>
              <c:strCache>
                <c:ptCount val="29"/>
                <c:pt idx="0">
                  <c:v>Chile (2014p)</c:v>
                </c:pt>
                <c:pt idx="1">
                  <c:v>México (2014)</c:v>
                </c:pt>
                <c:pt idx="2">
                  <c:v>Argentina</c:v>
                </c:pt>
                <c:pt idx="3">
                  <c:v>Sudáfrica (2012)</c:v>
                </c:pt>
                <c:pt idx="4">
                  <c:v>Grecia</c:v>
                </c:pt>
                <c:pt idx="5">
                  <c:v>Turquía</c:v>
                </c:pt>
                <c:pt idx="6">
                  <c:v>Rusia</c:v>
                </c:pt>
                <c:pt idx="7">
                  <c:v>Nueva Zelandia</c:v>
                </c:pt>
                <c:pt idx="8">
                  <c:v>España</c:v>
                </c:pt>
                <c:pt idx="9">
                  <c:v>Italia</c:v>
                </c:pt>
                <c:pt idx="10">
                  <c:v>Portugal</c:v>
                </c:pt>
                <c:pt idx="11">
                  <c:v>Irlanda (2012)</c:v>
                </c:pt>
                <c:pt idx="12">
                  <c:v>Canadá</c:v>
                </c:pt>
                <c:pt idx="13">
                  <c:v>Reino Unido</c:v>
                </c:pt>
                <c:pt idx="14">
                  <c:v>Noruega</c:v>
                </c:pt>
                <c:pt idx="15">
                  <c:v>Singapur (2012)</c:v>
                </c:pt>
                <c:pt idx="16">
                  <c:v>China </c:v>
                </c:pt>
                <c:pt idx="17">
                  <c:v>Francia</c:v>
                </c:pt>
                <c:pt idx="18">
                  <c:v>Bélgica</c:v>
                </c:pt>
                <c:pt idx="19">
                  <c:v>OECD </c:v>
                </c:pt>
                <c:pt idx="20">
                  <c:v>Estados Unidos</c:v>
                </c:pt>
                <c:pt idx="21">
                  <c:v>Alemania</c:v>
                </c:pt>
                <c:pt idx="22">
                  <c:v>Austria (2014)</c:v>
                </c:pt>
                <c:pt idx="23">
                  <c:v>Dinamarca</c:v>
                </c:pt>
                <c:pt idx="24">
                  <c:v>Suecia</c:v>
                </c:pt>
                <c:pt idx="25">
                  <c:v>Finlandia</c:v>
                </c:pt>
                <c:pt idx="26">
                  <c:v>Japón</c:v>
                </c:pt>
                <c:pt idx="27">
                  <c:v>Corea</c:v>
                </c:pt>
                <c:pt idx="28">
                  <c:v>Israel</c:v>
                </c:pt>
              </c:strCache>
            </c:strRef>
          </c:cat>
          <c:val>
            <c:numRef>
              <c:f>I.2!$C$8:$C$36</c:f>
              <c:numCache>
                <c:formatCode>General</c:formatCode>
                <c:ptCount val="29"/>
                <c:pt idx="0">
                  <c:v>0.38</c:v>
                </c:pt>
                <c:pt idx="1">
                  <c:v>0.54</c:v>
                </c:pt>
                <c:pt idx="2">
                  <c:v>0.57999999999999996</c:v>
                </c:pt>
                <c:pt idx="3">
                  <c:v>0.73</c:v>
                </c:pt>
                <c:pt idx="4">
                  <c:v>0.8</c:v>
                </c:pt>
                <c:pt idx="5">
                  <c:v>0.94</c:v>
                </c:pt>
                <c:pt idx="6">
                  <c:v>1.1200000000000001</c:v>
                </c:pt>
                <c:pt idx="7">
                  <c:v>1.17</c:v>
                </c:pt>
                <c:pt idx="8" formatCode="0.00">
                  <c:v>1.24</c:v>
                </c:pt>
                <c:pt idx="9">
                  <c:v>1.26</c:v>
                </c:pt>
                <c:pt idx="10" formatCode="0.00">
                  <c:v>1.37</c:v>
                </c:pt>
                <c:pt idx="11">
                  <c:v>1.58</c:v>
                </c:pt>
                <c:pt idx="12">
                  <c:v>1.62</c:v>
                </c:pt>
                <c:pt idx="13">
                  <c:v>1.63</c:v>
                </c:pt>
                <c:pt idx="14">
                  <c:v>1.65</c:v>
                </c:pt>
                <c:pt idx="15">
                  <c:v>2</c:v>
                </c:pt>
                <c:pt idx="16">
                  <c:v>2.08</c:v>
                </c:pt>
                <c:pt idx="17">
                  <c:v>2.23</c:v>
                </c:pt>
                <c:pt idx="18">
                  <c:v>2.2799999999999998</c:v>
                </c:pt>
                <c:pt idx="19" formatCode="0.00">
                  <c:v>2.36</c:v>
                </c:pt>
                <c:pt idx="20">
                  <c:v>2.73</c:v>
                </c:pt>
                <c:pt idx="21">
                  <c:v>2.85</c:v>
                </c:pt>
                <c:pt idx="22">
                  <c:v>2.99</c:v>
                </c:pt>
                <c:pt idx="23">
                  <c:v>3.06</c:v>
                </c:pt>
                <c:pt idx="24">
                  <c:v>3.3</c:v>
                </c:pt>
                <c:pt idx="25">
                  <c:v>3.31</c:v>
                </c:pt>
                <c:pt idx="26">
                  <c:v>3.47</c:v>
                </c:pt>
                <c:pt idx="27">
                  <c:v>4.1500000000000004</c:v>
                </c:pt>
                <c:pt idx="28">
                  <c:v>4.21</c:v>
                </c:pt>
              </c:numCache>
            </c:numRef>
          </c:val>
        </c:ser>
        <c:dLbls>
          <c:dLblPos val="outEnd"/>
          <c:showLegendKey val="0"/>
          <c:showVal val="1"/>
          <c:showCatName val="0"/>
          <c:showSerName val="0"/>
          <c:showPercent val="0"/>
          <c:showBubbleSize val="0"/>
        </c:dLbls>
        <c:gapWidth val="150"/>
        <c:axId val="236772224"/>
        <c:axId val="236772784"/>
      </c:barChart>
      <c:catAx>
        <c:axId val="236772224"/>
        <c:scaling>
          <c:orientation val="minMax"/>
        </c:scaling>
        <c:delete val="0"/>
        <c:axPos val="l"/>
        <c:numFmt formatCode="General" sourceLinked="1"/>
        <c:majorTickMark val="out"/>
        <c:minorTickMark val="none"/>
        <c:tickLblPos val="nextTo"/>
        <c:txPr>
          <a:bodyPr rot="0" vert="horz"/>
          <a:lstStyle/>
          <a:p>
            <a:pPr>
              <a:defRPr/>
            </a:pPr>
            <a:endParaRPr lang="es-CL"/>
          </a:p>
        </c:txPr>
        <c:crossAx val="236772784"/>
        <c:crosses val="autoZero"/>
        <c:auto val="1"/>
        <c:lblAlgn val="ctr"/>
        <c:lblOffset val="100"/>
        <c:tickLblSkip val="1"/>
        <c:tickMarkSkip val="1"/>
        <c:noMultiLvlLbl val="0"/>
      </c:catAx>
      <c:valAx>
        <c:axId val="236772784"/>
        <c:scaling>
          <c:orientation val="minMax"/>
          <c:max val="4.5"/>
        </c:scaling>
        <c:delete val="0"/>
        <c:axPos val="b"/>
        <c:majorGridlines/>
        <c:numFmt formatCode="General" sourceLinked="1"/>
        <c:majorTickMark val="out"/>
        <c:minorTickMark val="none"/>
        <c:tickLblPos val="nextTo"/>
        <c:txPr>
          <a:bodyPr rot="0" vert="horz"/>
          <a:lstStyle/>
          <a:p>
            <a:pPr>
              <a:defRPr/>
            </a:pPr>
            <a:endParaRPr lang="es-CL"/>
          </a:p>
        </c:txPr>
        <c:crossAx val="236772224"/>
        <c:crosses val="autoZero"/>
        <c:crossBetween val="between"/>
      </c:valAx>
    </c:plotArea>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alignWithMargins="0"/>
    <c:pageMargins b="1" l="0.75000000000000056" r="0.75000000000000056" t="1" header="0" footer="0"/>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Personal I+D según nivel de titulación</a:t>
            </a:r>
            <a:r>
              <a:rPr lang="es-CL" baseline="0"/>
              <a:t> formal (en JCE)</a:t>
            </a:r>
            <a:endParaRPr lang="es-CL"/>
          </a:p>
        </c:rich>
      </c:tx>
      <c:overlay val="0"/>
    </c:title>
    <c:autoTitleDeleted val="0"/>
    <c:plotArea>
      <c:layout/>
      <c:barChart>
        <c:barDir val="col"/>
        <c:grouping val="clustered"/>
        <c:varyColors val="0"/>
        <c:ser>
          <c:idx val="0"/>
          <c:order val="0"/>
          <c:tx>
            <c:strRef>
              <c:f>D.1!$B$55</c:f>
              <c:strCache>
                <c:ptCount val="1"/>
                <c:pt idx="0">
                  <c:v>2009</c:v>
                </c:pt>
              </c:strCache>
            </c:strRef>
          </c:tx>
          <c:invertIfNegative val="0"/>
          <c:cat>
            <c:strRef>
              <c:f>D.1!$C$54:$G$54</c:f>
              <c:strCache>
                <c:ptCount val="5"/>
                <c:pt idx="0">
                  <c:v>Doctorados</c:v>
                </c:pt>
                <c:pt idx="1">
                  <c:v>Magister</c:v>
                </c:pt>
                <c:pt idx="2">
                  <c:v>Profesional y/o Licenciatura</c:v>
                </c:pt>
                <c:pt idx="3">
                  <c:v>Técnicos de Nivel Superior</c:v>
                </c:pt>
                <c:pt idx="4">
                  <c:v>Otros</c:v>
                </c:pt>
              </c:strCache>
            </c:strRef>
          </c:cat>
          <c:val>
            <c:numRef>
              <c:f>D.1!$C$55:$G$55</c:f>
              <c:numCache>
                <c:formatCode>#,##0</c:formatCode>
                <c:ptCount val="5"/>
                <c:pt idx="0">
                  <c:v>2180.38</c:v>
                </c:pt>
                <c:pt idx="1">
                  <c:v>1013.86</c:v>
                </c:pt>
                <c:pt idx="2">
                  <c:v>3649.39</c:v>
                </c:pt>
                <c:pt idx="3">
                  <c:v>1614.81</c:v>
                </c:pt>
                <c:pt idx="4">
                  <c:v>1971.46</c:v>
                </c:pt>
              </c:numCache>
            </c:numRef>
          </c:val>
        </c:ser>
        <c:ser>
          <c:idx val="1"/>
          <c:order val="1"/>
          <c:tx>
            <c:strRef>
              <c:f>D.1!$B$56</c:f>
              <c:strCache>
                <c:ptCount val="1"/>
                <c:pt idx="0">
                  <c:v>2010</c:v>
                </c:pt>
              </c:strCache>
            </c:strRef>
          </c:tx>
          <c:invertIfNegative val="0"/>
          <c:cat>
            <c:strRef>
              <c:f>D.1!$C$54:$G$54</c:f>
              <c:strCache>
                <c:ptCount val="5"/>
                <c:pt idx="0">
                  <c:v>Doctorados</c:v>
                </c:pt>
                <c:pt idx="1">
                  <c:v>Magister</c:v>
                </c:pt>
                <c:pt idx="2">
                  <c:v>Profesional y/o Licenciatura</c:v>
                </c:pt>
                <c:pt idx="3">
                  <c:v>Técnicos de Nivel Superior</c:v>
                </c:pt>
                <c:pt idx="4">
                  <c:v>Otros</c:v>
                </c:pt>
              </c:strCache>
            </c:strRef>
          </c:cat>
          <c:val>
            <c:numRef>
              <c:f>D.1!$C$56:$G$56</c:f>
              <c:numCache>
                <c:formatCode>#,##0</c:formatCode>
                <c:ptCount val="5"/>
                <c:pt idx="0">
                  <c:v>2364.46</c:v>
                </c:pt>
                <c:pt idx="1">
                  <c:v>1068.8600000000001</c:v>
                </c:pt>
                <c:pt idx="2">
                  <c:v>4153.3899999999994</c:v>
                </c:pt>
                <c:pt idx="3">
                  <c:v>1712.48</c:v>
                </c:pt>
                <c:pt idx="4">
                  <c:v>2191.85</c:v>
                </c:pt>
              </c:numCache>
            </c:numRef>
          </c:val>
        </c:ser>
        <c:ser>
          <c:idx val="2"/>
          <c:order val="2"/>
          <c:tx>
            <c:strRef>
              <c:f>D.1!$B$57</c:f>
              <c:strCache>
                <c:ptCount val="1"/>
                <c:pt idx="0">
                  <c:v>2011</c:v>
                </c:pt>
              </c:strCache>
            </c:strRef>
          </c:tx>
          <c:invertIfNegative val="0"/>
          <c:cat>
            <c:strRef>
              <c:f>D.1!$C$54:$G$54</c:f>
              <c:strCache>
                <c:ptCount val="5"/>
                <c:pt idx="0">
                  <c:v>Doctorados</c:v>
                </c:pt>
                <c:pt idx="1">
                  <c:v>Magister</c:v>
                </c:pt>
                <c:pt idx="2">
                  <c:v>Profesional y/o Licenciatura</c:v>
                </c:pt>
                <c:pt idx="3">
                  <c:v>Técnicos de Nivel Superior</c:v>
                </c:pt>
                <c:pt idx="4">
                  <c:v>Otros</c:v>
                </c:pt>
              </c:strCache>
            </c:strRef>
          </c:cat>
          <c:val>
            <c:numRef>
              <c:f>D.1!$C$57:$G$57</c:f>
              <c:numCache>
                <c:formatCode>#,##0</c:formatCode>
                <c:ptCount val="5"/>
                <c:pt idx="0">
                  <c:v>2646.8100000000004</c:v>
                </c:pt>
                <c:pt idx="1">
                  <c:v>1239.96</c:v>
                </c:pt>
                <c:pt idx="2">
                  <c:v>4751.0259999999998</c:v>
                </c:pt>
                <c:pt idx="3">
                  <c:v>2343.5100000000002</c:v>
                </c:pt>
                <c:pt idx="4">
                  <c:v>2070.7399999999998</c:v>
                </c:pt>
              </c:numCache>
            </c:numRef>
          </c:val>
        </c:ser>
        <c:ser>
          <c:idx val="3"/>
          <c:order val="3"/>
          <c:tx>
            <c:strRef>
              <c:f>D.1!$B$58</c:f>
              <c:strCache>
                <c:ptCount val="1"/>
                <c:pt idx="0">
                  <c:v>2012</c:v>
                </c:pt>
              </c:strCache>
            </c:strRef>
          </c:tx>
          <c:invertIfNegative val="0"/>
          <c:cat>
            <c:strRef>
              <c:f>D.1!$C$54:$G$54</c:f>
              <c:strCache>
                <c:ptCount val="5"/>
                <c:pt idx="0">
                  <c:v>Doctorados</c:v>
                </c:pt>
                <c:pt idx="1">
                  <c:v>Magister</c:v>
                </c:pt>
                <c:pt idx="2">
                  <c:v>Profesional y/o Licenciatura</c:v>
                </c:pt>
                <c:pt idx="3">
                  <c:v>Técnicos de Nivel Superior</c:v>
                </c:pt>
                <c:pt idx="4">
                  <c:v>Otros</c:v>
                </c:pt>
              </c:strCache>
            </c:strRef>
          </c:cat>
          <c:val>
            <c:numRef>
              <c:f>D.1!$C$58:$G$58</c:f>
              <c:numCache>
                <c:formatCode>#,##0</c:formatCode>
                <c:ptCount val="5"/>
                <c:pt idx="0">
                  <c:v>2904.7800000000007</c:v>
                </c:pt>
                <c:pt idx="1">
                  <c:v>1433.31</c:v>
                </c:pt>
                <c:pt idx="2">
                  <c:v>5484.57</c:v>
                </c:pt>
                <c:pt idx="3">
                  <c:v>2583.5100000000002</c:v>
                </c:pt>
                <c:pt idx="4">
                  <c:v>2225.13</c:v>
                </c:pt>
              </c:numCache>
            </c:numRef>
          </c:val>
        </c:ser>
        <c:ser>
          <c:idx val="4"/>
          <c:order val="4"/>
          <c:tx>
            <c:strRef>
              <c:f>D.1!$B$59</c:f>
              <c:strCache>
                <c:ptCount val="1"/>
                <c:pt idx="0">
                  <c:v>2013</c:v>
                </c:pt>
              </c:strCache>
            </c:strRef>
          </c:tx>
          <c:invertIfNegative val="0"/>
          <c:cat>
            <c:strRef>
              <c:f>D.1!$C$54:$G$54</c:f>
              <c:strCache>
                <c:ptCount val="5"/>
                <c:pt idx="0">
                  <c:v>Doctorados</c:v>
                </c:pt>
                <c:pt idx="1">
                  <c:v>Magister</c:v>
                </c:pt>
                <c:pt idx="2">
                  <c:v>Profesional y/o Licenciatura</c:v>
                </c:pt>
                <c:pt idx="3">
                  <c:v>Técnicos de Nivel Superior</c:v>
                </c:pt>
                <c:pt idx="4">
                  <c:v>Otros</c:v>
                </c:pt>
              </c:strCache>
            </c:strRef>
          </c:cat>
          <c:val>
            <c:numRef>
              <c:f>D.1!$C$59:$G$59</c:f>
              <c:numCache>
                <c:formatCode>#,##0</c:formatCode>
                <c:ptCount val="5"/>
                <c:pt idx="0">
                  <c:v>2789.3453750003341</c:v>
                </c:pt>
                <c:pt idx="1">
                  <c:v>1536.8311666670331</c:v>
                </c:pt>
                <c:pt idx="2">
                  <c:v>5481.8040000063329</c:v>
                </c:pt>
                <c:pt idx="3">
                  <c:v>1382.494999999333</c:v>
                </c:pt>
                <c:pt idx="4">
                  <c:v>2038.2262500000002</c:v>
                </c:pt>
              </c:numCache>
            </c:numRef>
          </c:val>
        </c:ser>
        <c:ser>
          <c:idx val="5"/>
          <c:order val="5"/>
          <c:tx>
            <c:strRef>
              <c:f>D.1!$B$60</c:f>
              <c:strCache>
                <c:ptCount val="1"/>
                <c:pt idx="0">
                  <c:v>2014</c:v>
                </c:pt>
              </c:strCache>
            </c:strRef>
          </c:tx>
          <c:invertIfNegative val="0"/>
          <c:cat>
            <c:strRef>
              <c:f>D.1!$C$54:$G$54</c:f>
              <c:strCache>
                <c:ptCount val="5"/>
                <c:pt idx="0">
                  <c:v>Doctorados</c:v>
                </c:pt>
                <c:pt idx="1">
                  <c:v>Magister</c:v>
                </c:pt>
                <c:pt idx="2">
                  <c:v>Profesional y/o Licenciatura</c:v>
                </c:pt>
                <c:pt idx="3">
                  <c:v>Técnicos de Nivel Superior</c:v>
                </c:pt>
                <c:pt idx="4">
                  <c:v>Otros</c:v>
                </c:pt>
              </c:strCache>
            </c:strRef>
          </c:cat>
          <c:val>
            <c:numRef>
              <c:f>D.1!$C$60:$G$60</c:f>
              <c:numCache>
                <c:formatCode>#,##0</c:formatCode>
                <c:ptCount val="5"/>
                <c:pt idx="0">
                  <c:v>3131.1365083333335</c:v>
                </c:pt>
                <c:pt idx="1">
                  <c:v>1615.8141329999999</c:v>
                </c:pt>
                <c:pt idx="2">
                  <c:v>6593.5439900000001</c:v>
                </c:pt>
                <c:pt idx="3">
                  <c:v>2161.9136983333333</c:v>
                </c:pt>
                <c:pt idx="4">
                  <c:v>2407.2753600000001</c:v>
                </c:pt>
              </c:numCache>
            </c:numRef>
          </c:val>
        </c:ser>
        <c:dLbls>
          <c:showLegendKey val="0"/>
          <c:showVal val="0"/>
          <c:showCatName val="0"/>
          <c:showSerName val="0"/>
          <c:showPercent val="0"/>
          <c:showBubbleSize val="0"/>
        </c:dLbls>
        <c:gapWidth val="150"/>
        <c:axId val="241560064"/>
        <c:axId val="241560624"/>
      </c:barChart>
      <c:catAx>
        <c:axId val="241560064"/>
        <c:scaling>
          <c:orientation val="minMax"/>
        </c:scaling>
        <c:delete val="0"/>
        <c:axPos val="b"/>
        <c:numFmt formatCode="General" sourceLinked="0"/>
        <c:majorTickMark val="out"/>
        <c:minorTickMark val="none"/>
        <c:tickLblPos val="nextTo"/>
        <c:crossAx val="241560624"/>
        <c:crosses val="autoZero"/>
        <c:auto val="1"/>
        <c:lblAlgn val="ctr"/>
        <c:lblOffset val="100"/>
        <c:noMultiLvlLbl val="0"/>
      </c:catAx>
      <c:valAx>
        <c:axId val="241560624"/>
        <c:scaling>
          <c:orientation val="minMax"/>
        </c:scaling>
        <c:delete val="0"/>
        <c:axPos val="l"/>
        <c:majorGridlines/>
        <c:numFmt formatCode="#,##0" sourceLinked="1"/>
        <c:majorTickMark val="out"/>
        <c:minorTickMark val="none"/>
        <c:tickLblPos val="nextTo"/>
        <c:crossAx val="241560064"/>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Personal Dedicado a I+D</a:t>
            </a:r>
            <a:r>
              <a:rPr lang="en-US" baseline="0"/>
              <a:t> (JCE, 2014p)</a:t>
            </a:r>
            <a:endParaRPr lang="en-US"/>
          </a:p>
        </c:rich>
      </c:tx>
      <c:layout>
        <c:manualLayout>
          <c:xMode val="edge"/>
          <c:yMode val="edge"/>
          <c:x val="0.32286281031687858"/>
          <c:y val="1.7660044150110375E-2"/>
        </c:manualLayout>
      </c:layout>
      <c:overlay val="0"/>
    </c:title>
    <c:autoTitleDeleted val="0"/>
    <c:plotArea>
      <c:layout>
        <c:manualLayout>
          <c:layoutTarget val="inner"/>
          <c:xMode val="edge"/>
          <c:yMode val="edge"/>
          <c:x val="7.9053696166083071E-2"/>
          <c:y val="0.22733671804537947"/>
          <c:w val="0.77266762647897003"/>
          <c:h val="0.68683245675371674"/>
        </c:manualLayout>
      </c:layout>
      <c:ofPieChart>
        <c:ofPieType val="pie"/>
        <c:varyColors val="1"/>
        <c:ser>
          <c:idx val="0"/>
          <c:order val="0"/>
          <c:dPt>
            <c:idx val="7"/>
            <c:bubble3D val="0"/>
            <c:explosion val="10"/>
          </c:dPt>
          <c:dLbls>
            <c:dLbl>
              <c:idx val="0"/>
              <c:layout>
                <c:manualLayout>
                  <c:x val="0"/>
                  <c:y val="0.15186615186615188"/>
                </c:manualLayout>
              </c:layout>
              <c:dLblPos val="bestFit"/>
              <c:showLegendKey val="1"/>
              <c:showVal val="1"/>
              <c:showCatName val="1"/>
              <c:showSerName val="0"/>
              <c:showPercent val="1"/>
              <c:showBubbleSize val="0"/>
              <c:separator>
</c:separator>
              <c:extLst>
                <c:ext xmlns:c15="http://schemas.microsoft.com/office/drawing/2012/chart" uri="{CE6537A1-D6FC-4f65-9D91-7224C49458BB}"/>
              </c:extLst>
            </c:dLbl>
            <c:dLbl>
              <c:idx val="1"/>
              <c:layout>
                <c:manualLayout>
                  <c:x val="3.0097817908201654E-3"/>
                  <c:y val="0"/>
                </c:manualLayout>
              </c:layout>
              <c:dLblPos val="bestFit"/>
              <c:showLegendKey val="1"/>
              <c:showVal val="1"/>
              <c:showCatName val="1"/>
              <c:showSerName val="0"/>
              <c:showPercent val="1"/>
              <c:showBubbleSize val="0"/>
              <c:separator>
</c:separator>
              <c:extLst>
                <c:ext xmlns:c15="http://schemas.microsoft.com/office/drawing/2012/chart" uri="{CE6537A1-D6FC-4f65-9D91-7224C49458BB}"/>
              </c:extLst>
            </c:dLbl>
            <c:dLbl>
              <c:idx val="2"/>
              <c:layout>
                <c:manualLayout>
                  <c:x val="3.2362459546925568E-3"/>
                  <c:y val="5.4054054054054057E-2"/>
                </c:manualLayout>
              </c:layout>
              <c:tx>
                <c:rich>
                  <a:bodyPr/>
                  <a:lstStyle/>
                  <a:p>
                    <a:r>
                      <a:rPr lang="en-US"/>
                      <a:t>Doctorado
2,686
45%</a:t>
                    </a:r>
                  </a:p>
                </c:rich>
              </c:tx>
              <c:dLblPos val="bestFit"/>
              <c:showLegendKey val="1"/>
              <c:showVal val="1"/>
              <c:showCatName val="1"/>
              <c:showSerName val="0"/>
              <c:showPercent val="1"/>
              <c:showBubbleSize val="0"/>
              <c:separator>
</c:separator>
              <c:extLst>
                <c:ext xmlns:c15="http://schemas.microsoft.com/office/drawing/2012/chart" uri="{CE6537A1-D6FC-4f65-9D91-7224C49458BB}"/>
              </c:extLst>
            </c:dLbl>
            <c:dLbl>
              <c:idx val="3"/>
              <c:layout>
                <c:manualLayout>
                  <c:x val="-4.8543689320388345E-3"/>
                  <c:y val="-5.6628056628056631E-2"/>
                </c:manualLayout>
              </c:layout>
              <c:tx>
                <c:rich>
                  <a:bodyPr/>
                  <a:lstStyle/>
                  <a:p>
                    <a:r>
                      <a:rPr lang="en-US"/>
                      <a:t>Magister
1,083
18%</a:t>
                    </a:r>
                  </a:p>
                </c:rich>
              </c:tx>
              <c:dLblPos val="bestFit"/>
              <c:showLegendKey val="1"/>
              <c:showVal val="1"/>
              <c:showCatName val="1"/>
              <c:showSerName val="0"/>
              <c:showPercent val="1"/>
              <c:showBubbleSize val="0"/>
              <c:separator>
</c:separator>
              <c:extLst>
                <c:ext xmlns:c15="http://schemas.microsoft.com/office/drawing/2012/chart" uri="{CE6537A1-D6FC-4f65-9D91-7224C49458BB}"/>
              </c:extLst>
            </c:dLbl>
            <c:dLbl>
              <c:idx val="4"/>
              <c:layout>
                <c:manualLayout>
                  <c:x val="0"/>
                  <c:y val="2.3166023166023165E-2"/>
                </c:manualLayout>
              </c:layout>
              <c:tx>
                <c:rich>
                  <a:bodyPr/>
                  <a:lstStyle/>
                  <a:p>
                    <a:r>
                      <a:rPr lang="en-US"/>
                      <a:t>Profesional y/o Licenciado
2,079
35%</a:t>
                    </a:r>
                  </a:p>
                </c:rich>
              </c:tx>
              <c:dLblPos val="bestFit"/>
              <c:showLegendKey val="1"/>
              <c:showVal val="1"/>
              <c:showCatName val="1"/>
              <c:showSerName val="0"/>
              <c:showPercent val="1"/>
              <c:showBubbleSize val="0"/>
              <c:separator>
</c:separator>
              <c:extLst>
                <c:ext xmlns:c15="http://schemas.microsoft.com/office/drawing/2012/chart" uri="{CE6537A1-D6FC-4f65-9D91-7224C49458BB}"/>
              </c:extLst>
            </c:dLbl>
            <c:dLbl>
              <c:idx val="5"/>
              <c:layout>
                <c:manualLayout>
                  <c:x val="9.2233009708737865E-2"/>
                  <c:y val="1.0295807618642265E-2"/>
                </c:manualLayout>
              </c:layout>
              <c:tx>
                <c:rich>
                  <a:bodyPr/>
                  <a:lstStyle/>
                  <a:p>
                    <a:r>
                      <a:rPr lang="en-US"/>
                      <a:t>Técnico Superior
65
1%</a:t>
                    </a:r>
                  </a:p>
                </c:rich>
              </c:tx>
              <c:dLblPos val="bestFit"/>
              <c:showLegendKey val="1"/>
              <c:showVal val="1"/>
              <c:showCatName val="1"/>
              <c:showSerName val="0"/>
              <c:showPercent val="1"/>
              <c:showBubbleSize val="0"/>
              <c:separator>
</c:separator>
              <c:extLst>
                <c:ext xmlns:c15="http://schemas.microsoft.com/office/drawing/2012/chart" uri="{CE6537A1-D6FC-4f65-9D91-7224C49458BB}"/>
              </c:extLst>
            </c:dLbl>
            <c:dLbl>
              <c:idx val="6"/>
              <c:layout>
                <c:manualLayout>
                  <c:x val="-4.2071197411003236E-2"/>
                  <c:y val="2.5739823062657707E-2"/>
                </c:manualLayout>
              </c:layout>
              <c:tx>
                <c:rich>
                  <a:bodyPr/>
                  <a:lstStyle/>
                  <a:p>
                    <a:r>
                      <a:rPr lang="en-US"/>
                      <a:t>Otros
31
1%</a:t>
                    </a:r>
                  </a:p>
                </c:rich>
              </c:tx>
              <c:dLblPos val="bestFit"/>
              <c:showLegendKey val="1"/>
              <c:showVal val="1"/>
              <c:showCatName val="1"/>
              <c:showSerName val="0"/>
              <c:showPercent val="1"/>
              <c:showBubbleSize val="0"/>
              <c:separator>
</c:separator>
              <c:extLst>
                <c:ext xmlns:c15="http://schemas.microsoft.com/office/drawing/2012/chart" uri="{CE6537A1-D6FC-4f65-9D91-7224C49458BB}"/>
              </c:extLst>
            </c:dLbl>
            <c:dLbl>
              <c:idx val="7"/>
              <c:layout>
                <c:manualLayout>
                  <c:x val="-4.6925566343042069E-2"/>
                  <c:y val="-0.19047619047619047"/>
                </c:manualLayout>
              </c:layout>
              <c:tx>
                <c:rich>
                  <a:bodyPr/>
                  <a:lstStyle/>
                  <a:p>
                    <a:r>
                      <a:rPr lang="en-US"/>
                      <a:t>Investigadores
5,944
45%</a:t>
                    </a:r>
                  </a:p>
                </c:rich>
              </c:tx>
              <c:dLblPos val="bestFit"/>
              <c:showLegendKey val="1"/>
              <c:showVal val="1"/>
              <c:showCatName val="1"/>
              <c:showSerName val="0"/>
              <c:showPercent val="1"/>
              <c:showBubbleSize val="0"/>
              <c:separator>
</c:separator>
              <c:extLst>
                <c:ext xmlns:c15="http://schemas.microsoft.com/office/drawing/2012/chart" uri="{CE6537A1-D6FC-4f65-9D91-7224C49458BB}"/>
              </c:extLst>
            </c:dLbl>
            <c:spPr>
              <a:noFill/>
              <a:ln>
                <a:noFill/>
              </a:ln>
              <a:effectLst/>
            </c:spPr>
            <c:dLblPos val="outEnd"/>
            <c:showLegendKey val="1"/>
            <c:showVal val="1"/>
            <c:showCatName val="1"/>
            <c:showSerName val="0"/>
            <c:showPercent val="1"/>
            <c:showBubbleSize val="0"/>
            <c:separator>
</c:separator>
            <c:showLeaderLines val="0"/>
            <c:extLst>
              <c:ext xmlns:c15="http://schemas.microsoft.com/office/drawing/2012/chart" uri="{CE6537A1-D6FC-4f65-9D91-7224C49458BB}"/>
            </c:extLst>
          </c:dLbls>
          <c:cat>
            <c:strRef>
              <c:f>D.2!$F$72:$L$72</c:f>
              <c:strCache>
                <c:ptCount val="7"/>
                <c:pt idx="0">
                  <c:v>Técnicos y Personal de Apoyo</c:v>
                </c:pt>
                <c:pt idx="1">
                  <c:v>Otro Personal de Apoyo</c:v>
                </c:pt>
                <c:pt idx="2">
                  <c:v>Doctorado</c:v>
                </c:pt>
                <c:pt idx="3">
                  <c:v>Magister</c:v>
                </c:pt>
                <c:pt idx="4">
                  <c:v>Profesional y/o Licenciado</c:v>
                </c:pt>
                <c:pt idx="5">
                  <c:v>Técnico Superior</c:v>
                </c:pt>
                <c:pt idx="6">
                  <c:v>Otros</c:v>
                </c:pt>
              </c:strCache>
            </c:strRef>
          </c:cat>
          <c:val>
            <c:numRef>
              <c:f>D.2!$F$73:$L$73</c:f>
              <c:numCache>
                <c:formatCode>#,##0</c:formatCode>
                <c:ptCount val="7"/>
                <c:pt idx="0">
                  <c:v>5574.5959836666671</c:v>
                </c:pt>
                <c:pt idx="1">
                  <c:v>2733.0006913333336</c:v>
                </c:pt>
                <c:pt idx="2">
                  <c:v>2980.0486176666664</c:v>
                </c:pt>
                <c:pt idx="3">
                  <c:v>1115.2395059999999</c:v>
                </c:pt>
                <c:pt idx="4">
                  <c:v>2968.5618239999999</c:v>
                </c:pt>
                <c:pt idx="5">
                  <c:v>399.95881499999996</c:v>
                </c:pt>
                <c:pt idx="6">
                  <c:v>138.27825200000001</c:v>
                </c:pt>
              </c:numCache>
            </c:numRef>
          </c:val>
        </c:ser>
        <c:dLbls>
          <c:showLegendKey val="0"/>
          <c:showVal val="1"/>
          <c:showCatName val="0"/>
          <c:showSerName val="0"/>
          <c:showPercent val="0"/>
          <c:showBubbleSize val="0"/>
          <c:showLeaderLines val="0"/>
        </c:dLbls>
        <c:gapWidth val="100"/>
        <c:splitType val="pos"/>
        <c:splitPos val="5"/>
        <c:secondPieSize val="75"/>
        <c:serLines/>
      </c:ofPieChart>
    </c:plotArea>
    <c:plotVisOnly val="1"/>
    <c:dispBlanksAs val="gap"/>
    <c:showDLblsOverMax val="0"/>
  </c:chart>
  <c:spPr>
    <a:ln>
      <a:noFill/>
    </a:ln>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baseline="0">
                <a:solidFill>
                  <a:schemeClr val="tx1">
                    <a:lumMod val="65000"/>
                    <a:lumOff val="35000"/>
                  </a:schemeClr>
                </a:solidFill>
              </a:defRPr>
            </a:pPr>
            <a:r>
              <a:rPr lang="es-CL" baseline="0">
                <a:solidFill>
                  <a:schemeClr val="tx1">
                    <a:lumMod val="65000"/>
                    <a:lumOff val="35000"/>
                  </a:schemeClr>
                </a:solidFill>
              </a:rPr>
              <a:t>Distribución Personal I+D Según Nivel de Titulación Formal (2014p)</a:t>
            </a:r>
          </a:p>
        </c:rich>
      </c:tx>
      <c:layout>
        <c:manualLayout>
          <c:xMode val="edge"/>
          <c:yMode val="edge"/>
          <c:x val="0.11664139464060065"/>
          <c:y val="4.1237113402061855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D.3!$C$7:$G$7</c:f>
              <c:strCache>
                <c:ptCount val="5"/>
                <c:pt idx="0">
                  <c:v>Doctorado</c:v>
                </c:pt>
                <c:pt idx="1">
                  <c:v>Magister</c:v>
                </c:pt>
                <c:pt idx="2">
                  <c:v>Profesional y/o Licenciado</c:v>
                </c:pt>
                <c:pt idx="3">
                  <c:v>Técnico Superior</c:v>
                </c:pt>
                <c:pt idx="4">
                  <c:v>Otros</c:v>
                </c:pt>
              </c:strCache>
            </c:strRef>
          </c:cat>
          <c:val>
            <c:numRef>
              <c:f>D.3!$K$6:$O$6</c:f>
              <c:numCache>
                <c:formatCode>0%</c:formatCode>
                <c:ptCount val="5"/>
                <c:pt idx="0">
                  <c:v>0.23988445137606151</c:v>
                </c:pt>
                <c:pt idx="1">
                  <c:v>0.11079403757151676</c:v>
                </c:pt>
                <c:pt idx="2">
                  <c:v>0.40672641689021</c:v>
                </c:pt>
                <c:pt idx="3">
                  <c:v>0.11778994766915617</c:v>
                </c:pt>
                <c:pt idx="4">
                  <c:v>0.12480514649305553</c:v>
                </c:pt>
              </c:numCache>
            </c:numRef>
          </c:val>
        </c:ser>
        <c:dLbls>
          <c:dLblPos val="bestFit"/>
          <c:showLegendKey val="0"/>
          <c:showVal val="1"/>
          <c:showCatName val="0"/>
          <c:showSerName val="0"/>
          <c:showPercent val="0"/>
          <c:showBubbleSize val="0"/>
          <c:showLeaderLines val="1"/>
        </c:dLbls>
      </c:pie3DChart>
    </c:plotArea>
    <c:legend>
      <c:legendPos val="r"/>
      <c:overlay val="0"/>
      <c:txPr>
        <a:bodyPr/>
        <a:lstStyle/>
        <a:p>
          <a:pPr>
            <a:defRPr baseline="0">
              <a:solidFill>
                <a:schemeClr val="tx1">
                  <a:lumMod val="65000"/>
                  <a:lumOff val="35000"/>
                </a:schemeClr>
              </a:solidFill>
            </a:defRPr>
          </a:pPr>
          <a:endParaRPr lang="es-CL"/>
        </a:p>
      </c:txPr>
    </c:legend>
    <c:plotVisOnly val="1"/>
    <c:dispBlanksAs val="gap"/>
    <c:showDLblsOverMax val="0"/>
  </c:chart>
  <c:spPr>
    <a:ln>
      <a:noFill/>
    </a:ln>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Personal I+D Según Nivel de Titulación Formal y Sector de Ejecución (Promedio Mensual</a:t>
            </a:r>
            <a:r>
              <a:rPr lang="es-CL" sz="1600" baseline="0"/>
              <a:t> Anual, </a:t>
            </a:r>
            <a:r>
              <a:rPr lang="es-CL" sz="1600"/>
              <a:t>2014p)</a:t>
            </a:r>
          </a:p>
        </c:rich>
      </c:tx>
      <c:layout>
        <c:manualLayout>
          <c:xMode val="edge"/>
          <c:yMode val="edge"/>
          <c:x val="0.12424514200298954"/>
          <c:y val="2.7045300878972278E-2"/>
        </c:manualLayout>
      </c:layout>
      <c:overlay val="0"/>
    </c:title>
    <c:autoTitleDeleted val="0"/>
    <c:plotArea>
      <c:layout/>
      <c:barChart>
        <c:barDir val="col"/>
        <c:grouping val="clustered"/>
        <c:varyColors val="0"/>
        <c:ser>
          <c:idx val="0"/>
          <c:order val="0"/>
          <c:tx>
            <c:strRef>
              <c:f>D.3!$C$7</c:f>
              <c:strCache>
                <c:ptCount val="1"/>
                <c:pt idx="0">
                  <c:v>Doctorado</c:v>
                </c:pt>
              </c:strCache>
            </c:strRef>
          </c:tx>
          <c:invertIfNegative val="0"/>
          <c:cat>
            <c:strRef>
              <c:f>D.3!$B$9:$B$13</c:f>
              <c:strCache>
                <c:ptCount val="5"/>
                <c:pt idx="0">
                  <c:v>Estado</c:v>
                </c:pt>
                <c:pt idx="1">
                  <c:v>Ed. Superior</c:v>
                </c:pt>
                <c:pt idx="2">
                  <c:v>IPSFL</c:v>
                </c:pt>
                <c:pt idx="3">
                  <c:v>Empresas</c:v>
                </c:pt>
                <c:pt idx="4">
                  <c:v>Observatorios</c:v>
                </c:pt>
              </c:strCache>
            </c:strRef>
          </c:cat>
          <c:val>
            <c:numRef>
              <c:f>D.3!$C$9:$C$13</c:f>
              <c:numCache>
                <c:formatCode>#,##0</c:formatCode>
                <c:ptCount val="5"/>
                <c:pt idx="0">
                  <c:v>191.49998500000001</c:v>
                </c:pt>
                <c:pt idx="1">
                  <c:v>4995.083036</c:v>
                </c:pt>
                <c:pt idx="2">
                  <c:v>238.81247999999999</c:v>
                </c:pt>
                <c:pt idx="3">
                  <c:v>209.29164499999999</c:v>
                </c:pt>
                <c:pt idx="4">
                  <c:v>62.3333333333333</c:v>
                </c:pt>
              </c:numCache>
            </c:numRef>
          </c:val>
        </c:ser>
        <c:ser>
          <c:idx val="1"/>
          <c:order val="1"/>
          <c:tx>
            <c:strRef>
              <c:f>D.3!$D$7</c:f>
              <c:strCache>
                <c:ptCount val="1"/>
                <c:pt idx="0">
                  <c:v>Magister</c:v>
                </c:pt>
              </c:strCache>
            </c:strRef>
          </c:tx>
          <c:invertIfNegative val="0"/>
          <c:cat>
            <c:strRef>
              <c:f>D.3!$B$9:$B$13</c:f>
              <c:strCache>
                <c:ptCount val="5"/>
                <c:pt idx="0">
                  <c:v>Estado</c:v>
                </c:pt>
                <c:pt idx="1">
                  <c:v>Ed. Superior</c:v>
                </c:pt>
                <c:pt idx="2">
                  <c:v>IPSFL</c:v>
                </c:pt>
                <c:pt idx="3">
                  <c:v>Empresas</c:v>
                </c:pt>
                <c:pt idx="4">
                  <c:v>Observatorios</c:v>
                </c:pt>
              </c:strCache>
            </c:strRef>
          </c:cat>
          <c:val>
            <c:numRef>
              <c:f>D.3!$D$9:$D$13</c:f>
              <c:numCache>
                <c:formatCode>#,##0</c:formatCode>
                <c:ptCount val="5"/>
                <c:pt idx="0">
                  <c:v>309.10413199999999</c:v>
                </c:pt>
                <c:pt idx="1">
                  <c:v>1571.4164940000001</c:v>
                </c:pt>
                <c:pt idx="2">
                  <c:v>154.79164800000001</c:v>
                </c:pt>
                <c:pt idx="3">
                  <c:v>537.43746899999996</c:v>
                </c:pt>
                <c:pt idx="4">
                  <c:v>58.5</c:v>
                </c:pt>
              </c:numCache>
            </c:numRef>
          </c:val>
        </c:ser>
        <c:ser>
          <c:idx val="2"/>
          <c:order val="2"/>
          <c:tx>
            <c:strRef>
              <c:f>D.3!$E$7</c:f>
              <c:strCache>
                <c:ptCount val="1"/>
                <c:pt idx="0">
                  <c:v>Profesional y/o Licenciado</c:v>
                </c:pt>
              </c:strCache>
            </c:strRef>
          </c:tx>
          <c:invertIfNegative val="0"/>
          <c:cat>
            <c:strRef>
              <c:f>D.3!$B$9:$B$13</c:f>
              <c:strCache>
                <c:ptCount val="5"/>
                <c:pt idx="0">
                  <c:v>Estado</c:v>
                </c:pt>
                <c:pt idx="1">
                  <c:v>Ed. Superior</c:v>
                </c:pt>
                <c:pt idx="2">
                  <c:v>IPSFL</c:v>
                </c:pt>
                <c:pt idx="3">
                  <c:v>Empresas</c:v>
                </c:pt>
                <c:pt idx="4">
                  <c:v>Observatorios</c:v>
                </c:pt>
              </c:strCache>
            </c:strRef>
          </c:cat>
          <c:val>
            <c:numRef>
              <c:f>D.3!$E$9:$E$13</c:f>
              <c:numCache>
                <c:formatCode>#,##0</c:formatCode>
                <c:ptCount val="5"/>
                <c:pt idx="0">
                  <c:v>813.04159900000002</c:v>
                </c:pt>
                <c:pt idx="1">
                  <c:v>4590.3121650000003</c:v>
                </c:pt>
                <c:pt idx="2">
                  <c:v>1088.666592</c:v>
                </c:pt>
                <c:pt idx="3">
                  <c:v>2992.8331920000001</c:v>
                </c:pt>
                <c:pt idx="4">
                  <c:v>174.5</c:v>
                </c:pt>
              </c:numCache>
            </c:numRef>
          </c:val>
        </c:ser>
        <c:ser>
          <c:idx val="3"/>
          <c:order val="3"/>
          <c:tx>
            <c:strRef>
              <c:f>D.3!$F$7</c:f>
              <c:strCache>
                <c:ptCount val="1"/>
                <c:pt idx="0">
                  <c:v>Técnico Superior</c:v>
                </c:pt>
              </c:strCache>
            </c:strRef>
          </c:tx>
          <c:invertIfNegative val="0"/>
          <c:cat>
            <c:strRef>
              <c:f>D.3!$B$9:$B$13</c:f>
              <c:strCache>
                <c:ptCount val="5"/>
                <c:pt idx="0">
                  <c:v>Estado</c:v>
                </c:pt>
                <c:pt idx="1">
                  <c:v>Ed. Superior</c:v>
                </c:pt>
                <c:pt idx="2">
                  <c:v>IPSFL</c:v>
                </c:pt>
                <c:pt idx="3">
                  <c:v>Empresas</c:v>
                </c:pt>
                <c:pt idx="4">
                  <c:v>Observatorios</c:v>
                </c:pt>
              </c:strCache>
            </c:strRef>
          </c:cat>
          <c:val>
            <c:numRef>
              <c:f>D.3!$F$9:$F$13</c:f>
              <c:numCache>
                <c:formatCode>#,##0</c:formatCode>
                <c:ptCount val="5"/>
                <c:pt idx="0">
                  <c:v>313.56249600000001</c:v>
                </c:pt>
                <c:pt idx="1">
                  <c:v>888.68745899999999</c:v>
                </c:pt>
                <c:pt idx="2">
                  <c:v>378.29165899999998</c:v>
                </c:pt>
                <c:pt idx="3">
                  <c:v>978.02080000000001</c:v>
                </c:pt>
                <c:pt idx="4">
                  <c:v>238.83333333333334</c:v>
                </c:pt>
              </c:numCache>
            </c:numRef>
          </c:val>
        </c:ser>
        <c:ser>
          <c:idx val="4"/>
          <c:order val="4"/>
          <c:tx>
            <c:strRef>
              <c:f>D.3!$G$7</c:f>
              <c:strCache>
                <c:ptCount val="1"/>
                <c:pt idx="0">
                  <c:v>Otros</c:v>
                </c:pt>
              </c:strCache>
            </c:strRef>
          </c:tx>
          <c:invertIfNegative val="0"/>
          <c:cat>
            <c:strRef>
              <c:f>D.3!$B$9:$B$13</c:f>
              <c:strCache>
                <c:ptCount val="5"/>
                <c:pt idx="0">
                  <c:v>Estado</c:v>
                </c:pt>
                <c:pt idx="1">
                  <c:v>Ed. Superior</c:v>
                </c:pt>
                <c:pt idx="2">
                  <c:v>IPSFL</c:v>
                </c:pt>
                <c:pt idx="3">
                  <c:v>Empresas</c:v>
                </c:pt>
                <c:pt idx="4">
                  <c:v>Observatorios</c:v>
                </c:pt>
              </c:strCache>
            </c:strRef>
          </c:cat>
          <c:val>
            <c:numRef>
              <c:f>D.3!$G$9:$G$13</c:f>
              <c:numCache>
                <c:formatCode>#,##0</c:formatCode>
                <c:ptCount val="5"/>
                <c:pt idx="0">
                  <c:v>250.87498500000001</c:v>
                </c:pt>
                <c:pt idx="1">
                  <c:v>728.06240400000002</c:v>
                </c:pt>
                <c:pt idx="2">
                  <c:v>79.354152999999997</c:v>
                </c:pt>
                <c:pt idx="3">
                  <c:v>1873.708298</c:v>
                </c:pt>
                <c:pt idx="4">
                  <c:v>32</c:v>
                </c:pt>
              </c:numCache>
            </c:numRef>
          </c:val>
        </c:ser>
        <c:dLbls>
          <c:showLegendKey val="0"/>
          <c:showVal val="0"/>
          <c:showCatName val="0"/>
          <c:showSerName val="0"/>
          <c:showPercent val="0"/>
          <c:showBubbleSize val="0"/>
        </c:dLbls>
        <c:gapWidth val="150"/>
        <c:axId val="241569024"/>
        <c:axId val="241569584"/>
      </c:barChart>
      <c:catAx>
        <c:axId val="241569024"/>
        <c:scaling>
          <c:orientation val="minMax"/>
        </c:scaling>
        <c:delete val="0"/>
        <c:axPos val="b"/>
        <c:numFmt formatCode="General" sourceLinked="0"/>
        <c:majorTickMark val="out"/>
        <c:minorTickMark val="none"/>
        <c:tickLblPos val="nextTo"/>
        <c:crossAx val="241569584"/>
        <c:crosses val="autoZero"/>
        <c:auto val="1"/>
        <c:lblAlgn val="ctr"/>
        <c:lblOffset val="100"/>
        <c:noMultiLvlLbl val="0"/>
      </c:catAx>
      <c:valAx>
        <c:axId val="241569584"/>
        <c:scaling>
          <c:orientation val="minMax"/>
        </c:scaling>
        <c:delete val="0"/>
        <c:axPos val="l"/>
        <c:majorGridlines>
          <c:spPr>
            <a:ln>
              <a:solidFill>
                <a:schemeClr val="bg1"/>
              </a:solidFill>
            </a:ln>
          </c:spPr>
        </c:majorGridlines>
        <c:numFmt formatCode="#,##0" sourceLinked="1"/>
        <c:majorTickMark val="out"/>
        <c:minorTickMark val="none"/>
        <c:tickLblPos val="nextTo"/>
        <c:crossAx val="241569024"/>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600"/>
            </a:pPr>
            <a:r>
              <a:rPr lang="es-CL" sz="1600"/>
              <a:t>Investigadores I+D</a:t>
            </a:r>
            <a:r>
              <a:rPr lang="es-CL" sz="1600" baseline="0"/>
              <a:t> en empresas</a:t>
            </a:r>
            <a:r>
              <a:rPr lang="es-CL" sz="1600"/>
              <a:t> Según Actividad Económica-CIIU rev.4 </a:t>
            </a:r>
          </a:p>
          <a:p>
            <a:pPr>
              <a:defRPr sz="1600"/>
            </a:pPr>
            <a:r>
              <a:rPr lang="es-CL" sz="1600"/>
              <a:t>(Promedio Mensual Anual, 2014)</a:t>
            </a:r>
          </a:p>
        </c:rich>
      </c:tx>
      <c:overlay val="0"/>
    </c:title>
    <c:autoTitleDeleted val="0"/>
    <c:plotArea>
      <c:layout>
        <c:manualLayout>
          <c:layoutTarget val="inner"/>
          <c:xMode val="edge"/>
          <c:yMode val="edge"/>
          <c:x val="0.37957778464260572"/>
          <c:y val="0.11898006073812935"/>
          <c:w val="0.58699554869803361"/>
          <c:h val="0.82743716778708754"/>
        </c:manualLayout>
      </c:layout>
      <c:barChart>
        <c:barDir val="bar"/>
        <c:grouping val="clustered"/>
        <c:varyColors val="0"/>
        <c:ser>
          <c:idx val="0"/>
          <c:order val="0"/>
          <c:invertIfNegative val="0"/>
          <c:cat>
            <c:strRef>
              <c:f>D.6!$C$8:$C$26</c:f>
              <c:strCache>
                <c:ptCount val="19"/>
                <c:pt idx="0">
                  <c:v>Agricultura, ganadería, caza, silvicultura y pesca</c:v>
                </c:pt>
                <c:pt idx="1">
                  <c:v>Explotación de minas y canteras</c:v>
                </c:pt>
                <c:pt idx="2">
                  <c:v>Industrias manufactureras (*)</c:v>
                </c:pt>
                <c:pt idx="3">
                  <c:v>Suministro de electricidad, gas, vapor y aire acondicionado</c:v>
                </c:pt>
                <c:pt idx="4">
                  <c:v>Suministro de agua</c:v>
                </c:pt>
                <c:pt idx="5">
                  <c:v>Construcción</c:v>
                </c:pt>
                <c:pt idx="6">
                  <c:v>Comercio</c:v>
                </c:pt>
                <c:pt idx="7">
                  <c:v>Transporte y almacenamiento</c:v>
                </c:pt>
                <c:pt idx="8">
                  <c:v>Alojamiento y de servicio de comidas</c:v>
                </c:pt>
                <c:pt idx="9">
                  <c:v>Información y comunicaciones (**)</c:v>
                </c:pt>
                <c:pt idx="10">
                  <c:v>Actividades financieras y de seguros</c:v>
                </c:pt>
                <c:pt idx="11">
                  <c:v>Actividades inmobiliarias</c:v>
                </c:pt>
                <c:pt idx="12">
                  <c:v>Actividades profesionales, científicas y técnicas (***)</c:v>
                </c:pt>
                <c:pt idx="13">
                  <c:v>Actividades de servicios administrativos y de apoyo</c:v>
                </c:pt>
                <c:pt idx="14">
                  <c:v>Administración pública y defensa</c:v>
                </c:pt>
                <c:pt idx="15">
                  <c:v>Enseñanza</c:v>
                </c:pt>
                <c:pt idx="16">
                  <c:v>Actividades de atención de la salud </c:v>
                </c:pt>
                <c:pt idx="17">
                  <c:v>Actividades artísticas, de entretenimiento y recreativas</c:v>
                </c:pt>
                <c:pt idx="18">
                  <c:v>Otras actividades de servicios</c:v>
                </c:pt>
              </c:strCache>
            </c:strRef>
          </c:cat>
          <c:val>
            <c:numRef>
              <c:f>D.6!$D$8:$D$26</c:f>
              <c:numCache>
                <c:formatCode>#,##0</c:formatCode>
                <c:ptCount val="19"/>
                <c:pt idx="0">
                  <c:v>150.39582999999999</c:v>
                </c:pt>
                <c:pt idx="1">
                  <c:v>184.79169999999999</c:v>
                </c:pt>
                <c:pt idx="2">
                  <c:v>968.60410000000002</c:v>
                </c:pt>
                <c:pt idx="3">
                  <c:v>38.416670000000003</c:v>
                </c:pt>
                <c:pt idx="4">
                  <c:v>23.41666</c:v>
                </c:pt>
                <c:pt idx="5">
                  <c:v>61.166670000000003</c:v>
                </c:pt>
                <c:pt idx="6">
                  <c:v>166.08333300000001</c:v>
                </c:pt>
                <c:pt idx="7">
                  <c:v>44.25</c:v>
                </c:pt>
                <c:pt idx="8">
                  <c:v>2</c:v>
                </c:pt>
                <c:pt idx="9">
                  <c:v>298.27085999999997</c:v>
                </c:pt>
                <c:pt idx="10">
                  <c:v>362.10419999999999</c:v>
                </c:pt>
                <c:pt idx="11">
                  <c:v>0</c:v>
                </c:pt>
                <c:pt idx="12">
                  <c:v>674.64582999999993</c:v>
                </c:pt>
                <c:pt idx="13">
                  <c:v>9.4583329999999997</c:v>
                </c:pt>
                <c:pt idx="14">
                  <c:v>0</c:v>
                </c:pt>
                <c:pt idx="15">
                  <c:v>46.5</c:v>
                </c:pt>
                <c:pt idx="16">
                  <c:v>19.29166</c:v>
                </c:pt>
                <c:pt idx="17">
                  <c:v>0</c:v>
                </c:pt>
                <c:pt idx="18">
                  <c:v>13.375</c:v>
                </c:pt>
              </c:numCache>
            </c:numRef>
          </c:val>
        </c:ser>
        <c:dLbls>
          <c:showLegendKey val="0"/>
          <c:showVal val="0"/>
          <c:showCatName val="0"/>
          <c:showSerName val="0"/>
          <c:showPercent val="0"/>
          <c:showBubbleSize val="0"/>
        </c:dLbls>
        <c:gapWidth val="150"/>
        <c:axId val="241572384"/>
        <c:axId val="241572944"/>
      </c:barChart>
      <c:catAx>
        <c:axId val="241572384"/>
        <c:scaling>
          <c:orientation val="minMax"/>
        </c:scaling>
        <c:delete val="0"/>
        <c:axPos val="l"/>
        <c:numFmt formatCode="General" sourceLinked="0"/>
        <c:majorTickMark val="out"/>
        <c:minorTickMark val="none"/>
        <c:tickLblPos val="nextTo"/>
        <c:crossAx val="241572944"/>
        <c:crosses val="autoZero"/>
        <c:auto val="1"/>
        <c:lblAlgn val="ctr"/>
        <c:lblOffset val="100"/>
        <c:noMultiLvlLbl val="0"/>
      </c:catAx>
      <c:valAx>
        <c:axId val="241572944"/>
        <c:scaling>
          <c:orientation val="minMax"/>
        </c:scaling>
        <c:delete val="0"/>
        <c:axPos val="b"/>
        <c:majorGridlines>
          <c:spPr>
            <a:ln>
              <a:solidFill>
                <a:schemeClr val="bg1"/>
              </a:solidFill>
            </a:ln>
          </c:spPr>
        </c:majorGridlines>
        <c:numFmt formatCode="#,##0" sourceLinked="1"/>
        <c:majorTickMark val="out"/>
        <c:minorTickMark val="none"/>
        <c:tickLblPos val="nextTo"/>
        <c:crossAx val="241572384"/>
        <c:crosses val="autoZero"/>
        <c:crossBetween val="between"/>
      </c:valAx>
      <c:spPr>
        <a:solidFill>
          <a:schemeClr val="bg1">
            <a:lumMod val="75000"/>
          </a:schemeClr>
        </a:solidFill>
      </c:spPr>
    </c:plotArea>
    <c:plotVisOnly val="1"/>
    <c:dispBlanksAs val="gap"/>
    <c:showDLblsOverMax val="0"/>
  </c:chart>
  <c:spPr>
    <a:ln>
      <a:no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lumMod val="65000"/>
                    <a:lumOff val="35000"/>
                  </a:sysClr>
                </a:solidFill>
                <a:latin typeface="+mn-lt"/>
                <a:ea typeface="+mn-ea"/>
                <a:cs typeface="+mn-cs"/>
              </a:defRPr>
            </a:pPr>
            <a:r>
              <a:rPr lang="es-CL" sz="1600" b="1" i="0" u="none" strike="noStrike" baseline="0">
                <a:effectLst/>
              </a:rPr>
              <a:t>Investigadores I+D en empresas </a:t>
            </a:r>
            <a:r>
              <a:rPr lang="es-CL" sz="1600"/>
              <a:t>Según Actividad Económica-CIIU </a:t>
            </a:r>
            <a:r>
              <a:rPr lang="es-CL" sz="1800" b="1" i="0" baseline="0">
                <a:effectLst/>
              </a:rPr>
              <a:t>rev.4 </a:t>
            </a:r>
            <a:endParaRPr lang="es-CL" sz="1600">
              <a:effectLst/>
            </a:endParaRPr>
          </a:p>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lumMod val="65000"/>
                    <a:lumOff val="35000"/>
                  </a:sysClr>
                </a:solidFill>
                <a:latin typeface="+mn-lt"/>
                <a:ea typeface="+mn-ea"/>
                <a:cs typeface="+mn-cs"/>
              </a:defRPr>
            </a:pPr>
            <a:r>
              <a:rPr lang="es-CL" sz="1600"/>
              <a:t> (JCE, 2014)</a:t>
            </a:r>
          </a:p>
        </c:rich>
      </c:tx>
      <c:layout>
        <c:manualLayout>
          <c:xMode val="edge"/>
          <c:yMode val="edge"/>
          <c:x val="0.21053997859206147"/>
          <c:y val="1.9047619047619049E-2"/>
        </c:manualLayout>
      </c:layout>
      <c:overlay val="0"/>
    </c:title>
    <c:autoTitleDeleted val="0"/>
    <c:plotArea>
      <c:layout/>
      <c:barChart>
        <c:barDir val="bar"/>
        <c:grouping val="clustered"/>
        <c:varyColors val="0"/>
        <c:ser>
          <c:idx val="0"/>
          <c:order val="0"/>
          <c:invertIfNegative val="0"/>
          <c:cat>
            <c:strRef>
              <c:f>D.6!$C$35:$C$53</c:f>
              <c:strCache>
                <c:ptCount val="19"/>
                <c:pt idx="0">
                  <c:v>Agricultura, ganadería, caza, silvicultura y pesca</c:v>
                </c:pt>
                <c:pt idx="1">
                  <c:v>Explotación de minas y canteras</c:v>
                </c:pt>
                <c:pt idx="2">
                  <c:v>Industrias manufactureras (*)</c:v>
                </c:pt>
                <c:pt idx="3">
                  <c:v>Suministro de electricidad, gas, vapor y aire acondicionado</c:v>
                </c:pt>
                <c:pt idx="4">
                  <c:v>Suministro de agua</c:v>
                </c:pt>
                <c:pt idx="5">
                  <c:v>Construcción</c:v>
                </c:pt>
                <c:pt idx="6">
                  <c:v>Comercio</c:v>
                </c:pt>
                <c:pt idx="7">
                  <c:v>Transporte y almacenamiento</c:v>
                </c:pt>
                <c:pt idx="8">
                  <c:v>Alojamiento y de servicio de comidas</c:v>
                </c:pt>
                <c:pt idx="9">
                  <c:v>Información y comunicaciones (**)</c:v>
                </c:pt>
                <c:pt idx="10">
                  <c:v>Actividades financieras y de seguros</c:v>
                </c:pt>
                <c:pt idx="11">
                  <c:v>Actividades inmobiliarias</c:v>
                </c:pt>
                <c:pt idx="12">
                  <c:v>Actividades profesionales, científicas y técnicas (***)</c:v>
                </c:pt>
                <c:pt idx="13">
                  <c:v>Actividades de servicios administrativos y de apoyo</c:v>
                </c:pt>
                <c:pt idx="14">
                  <c:v>Administración pública y defensa</c:v>
                </c:pt>
                <c:pt idx="15">
                  <c:v>Enseñanza</c:v>
                </c:pt>
                <c:pt idx="16">
                  <c:v>Actividades de atención de la salud </c:v>
                </c:pt>
                <c:pt idx="17">
                  <c:v>Actividades artísticas, de entretenimiento y recreativas</c:v>
                </c:pt>
                <c:pt idx="18">
                  <c:v>Otras actividades de servicios</c:v>
                </c:pt>
              </c:strCache>
            </c:strRef>
          </c:cat>
          <c:val>
            <c:numRef>
              <c:f>D.6!$D$35:$D$53</c:f>
              <c:numCache>
                <c:formatCode>#,##0</c:formatCode>
                <c:ptCount val="19"/>
                <c:pt idx="0">
                  <c:v>122.54219999999999</c:v>
                </c:pt>
                <c:pt idx="1">
                  <c:v>150.9958</c:v>
                </c:pt>
                <c:pt idx="2">
                  <c:v>736.06420000000003</c:v>
                </c:pt>
                <c:pt idx="3">
                  <c:v>23.946670000000001</c:v>
                </c:pt>
                <c:pt idx="4">
                  <c:v>11.289580000000001</c:v>
                </c:pt>
                <c:pt idx="5">
                  <c:v>17.691669999999998</c:v>
                </c:pt>
                <c:pt idx="6">
                  <c:v>107.49156600000001</c:v>
                </c:pt>
                <c:pt idx="7">
                  <c:v>28.344159999999999</c:v>
                </c:pt>
                <c:pt idx="8">
                  <c:v>2</c:v>
                </c:pt>
                <c:pt idx="9">
                  <c:v>246.19021000000001</c:v>
                </c:pt>
                <c:pt idx="10">
                  <c:v>201.62710000000001</c:v>
                </c:pt>
                <c:pt idx="11">
                  <c:v>0</c:v>
                </c:pt>
                <c:pt idx="12">
                  <c:v>566.91624999999999</c:v>
                </c:pt>
                <c:pt idx="13">
                  <c:v>4.2540829999999996</c:v>
                </c:pt>
                <c:pt idx="14">
                  <c:v>0</c:v>
                </c:pt>
                <c:pt idx="15">
                  <c:v>23.662500000000001</c:v>
                </c:pt>
                <c:pt idx="16">
                  <c:v>9.2874979999999994</c:v>
                </c:pt>
                <c:pt idx="17">
                  <c:v>0</c:v>
                </c:pt>
                <c:pt idx="18">
                  <c:v>12.237500000000001</c:v>
                </c:pt>
              </c:numCache>
            </c:numRef>
          </c:val>
        </c:ser>
        <c:dLbls>
          <c:showLegendKey val="0"/>
          <c:showVal val="0"/>
          <c:showCatName val="0"/>
          <c:showSerName val="0"/>
          <c:showPercent val="0"/>
          <c:showBubbleSize val="0"/>
        </c:dLbls>
        <c:gapWidth val="150"/>
        <c:axId val="243021888"/>
        <c:axId val="243022448"/>
      </c:barChart>
      <c:catAx>
        <c:axId val="243021888"/>
        <c:scaling>
          <c:orientation val="minMax"/>
        </c:scaling>
        <c:delete val="0"/>
        <c:axPos val="l"/>
        <c:numFmt formatCode="General" sourceLinked="0"/>
        <c:majorTickMark val="out"/>
        <c:minorTickMark val="none"/>
        <c:tickLblPos val="nextTo"/>
        <c:crossAx val="243022448"/>
        <c:crosses val="autoZero"/>
        <c:auto val="1"/>
        <c:lblAlgn val="ctr"/>
        <c:lblOffset val="100"/>
        <c:noMultiLvlLbl val="0"/>
      </c:catAx>
      <c:valAx>
        <c:axId val="243022448"/>
        <c:scaling>
          <c:orientation val="minMax"/>
          <c:max val="700"/>
        </c:scaling>
        <c:delete val="0"/>
        <c:axPos val="b"/>
        <c:majorGridlines>
          <c:spPr>
            <a:ln>
              <a:solidFill>
                <a:schemeClr val="bg1"/>
              </a:solidFill>
            </a:ln>
          </c:spPr>
        </c:majorGridlines>
        <c:numFmt formatCode="#,##0" sourceLinked="1"/>
        <c:majorTickMark val="out"/>
        <c:minorTickMark val="none"/>
        <c:tickLblPos val="nextTo"/>
        <c:crossAx val="243021888"/>
        <c:crosses val="autoZero"/>
        <c:crossBetween val="between"/>
      </c:valAx>
      <c:spPr>
        <a:solidFill>
          <a:schemeClr val="bg1">
            <a:lumMod val="75000"/>
          </a:schemeClr>
        </a:solidFill>
      </c:spPr>
    </c:plotArea>
    <c:plotVisOnly val="1"/>
    <c:dispBlanksAs val="gap"/>
    <c:showDLblsOverMax val="0"/>
  </c:chart>
  <c:spPr>
    <a:ln>
      <a:no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Personal I+D Investigadores Según</a:t>
            </a:r>
            <a:r>
              <a:rPr lang="es-CL" sz="1600" baseline="0"/>
              <a:t> Área del Conocimiento</a:t>
            </a:r>
          </a:p>
          <a:p>
            <a:pPr>
              <a:defRPr sz="1600"/>
            </a:pPr>
            <a:r>
              <a:rPr lang="es-CL" sz="1600" baseline="0"/>
              <a:t> (JCE, 2014p)</a:t>
            </a:r>
            <a:endParaRPr lang="es-CL" sz="1600"/>
          </a:p>
        </c:rich>
      </c:tx>
      <c:overlay val="0"/>
    </c:title>
    <c:autoTitleDeleted val="0"/>
    <c:plotArea>
      <c:layout/>
      <c:barChart>
        <c:barDir val="col"/>
        <c:grouping val="clustered"/>
        <c:varyColors val="0"/>
        <c:ser>
          <c:idx val="0"/>
          <c:order val="0"/>
          <c:tx>
            <c:strRef>
              <c:f>D.7!$C$7</c:f>
              <c:strCache>
                <c:ptCount val="1"/>
                <c:pt idx="0">
                  <c:v>Ciencias Naturales</c:v>
                </c:pt>
              </c:strCache>
            </c:strRef>
          </c:tx>
          <c:invertIfNegative val="0"/>
          <c:cat>
            <c:strRef>
              <c:f>D.7!$B$8:$B$11</c:f>
              <c:strCache>
                <c:ptCount val="4"/>
                <c:pt idx="0">
                  <c:v>Estado</c:v>
                </c:pt>
                <c:pt idx="1">
                  <c:v>Ed. Superior</c:v>
                </c:pt>
                <c:pt idx="2">
                  <c:v>IPSFL</c:v>
                </c:pt>
                <c:pt idx="3">
                  <c:v>Empresas</c:v>
                </c:pt>
              </c:strCache>
            </c:strRef>
          </c:cat>
          <c:val>
            <c:numRef>
              <c:f>D.7!$C$8:$C$11</c:f>
              <c:numCache>
                <c:formatCode>#,##0</c:formatCode>
                <c:ptCount val="4"/>
                <c:pt idx="0">
                  <c:v>130.84165100000001</c:v>
                </c:pt>
                <c:pt idx="1">
                  <c:v>1249.6581630000001</c:v>
                </c:pt>
                <c:pt idx="2">
                  <c:v>636.99164699999994</c:v>
                </c:pt>
                <c:pt idx="3">
                  <c:v>138.29394400000001</c:v>
                </c:pt>
              </c:numCache>
            </c:numRef>
          </c:val>
        </c:ser>
        <c:ser>
          <c:idx val="1"/>
          <c:order val="1"/>
          <c:tx>
            <c:strRef>
              <c:f>D.7!$D$7</c:f>
              <c:strCache>
                <c:ptCount val="1"/>
                <c:pt idx="0">
                  <c:v>Ingeniería y Tecnología</c:v>
                </c:pt>
              </c:strCache>
            </c:strRef>
          </c:tx>
          <c:invertIfNegative val="0"/>
          <c:cat>
            <c:strRef>
              <c:f>D.7!$B$8:$B$11</c:f>
              <c:strCache>
                <c:ptCount val="4"/>
                <c:pt idx="0">
                  <c:v>Estado</c:v>
                </c:pt>
                <c:pt idx="1">
                  <c:v>Ed. Superior</c:v>
                </c:pt>
                <c:pt idx="2">
                  <c:v>IPSFL</c:v>
                </c:pt>
                <c:pt idx="3">
                  <c:v>Empresas</c:v>
                </c:pt>
              </c:strCache>
            </c:strRef>
          </c:cat>
          <c:val>
            <c:numRef>
              <c:f>D.7!$D$8:$D$11</c:f>
              <c:numCache>
                <c:formatCode>#,##0</c:formatCode>
                <c:ptCount val="4"/>
                <c:pt idx="0">
                  <c:v>108.595253</c:v>
                </c:pt>
                <c:pt idx="1">
                  <c:v>771.32085500000005</c:v>
                </c:pt>
                <c:pt idx="2">
                  <c:v>162.32080300000001</c:v>
                </c:pt>
                <c:pt idx="3">
                  <c:v>1606.4200049999999</c:v>
                </c:pt>
              </c:numCache>
            </c:numRef>
          </c:val>
        </c:ser>
        <c:ser>
          <c:idx val="2"/>
          <c:order val="2"/>
          <c:tx>
            <c:strRef>
              <c:f>D.7!$E$7</c:f>
              <c:strCache>
                <c:ptCount val="1"/>
                <c:pt idx="0">
                  <c:v>Ciencias Médicas y de Salud</c:v>
                </c:pt>
              </c:strCache>
            </c:strRef>
          </c:tx>
          <c:invertIfNegative val="0"/>
          <c:cat>
            <c:strRef>
              <c:f>D.7!$B$8:$B$11</c:f>
              <c:strCache>
                <c:ptCount val="4"/>
                <c:pt idx="0">
                  <c:v>Estado</c:v>
                </c:pt>
                <c:pt idx="1">
                  <c:v>Ed. Superior</c:v>
                </c:pt>
                <c:pt idx="2">
                  <c:v>IPSFL</c:v>
                </c:pt>
                <c:pt idx="3">
                  <c:v>Empresas</c:v>
                </c:pt>
              </c:strCache>
            </c:strRef>
          </c:cat>
          <c:val>
            <c:numRef>
              <c:f>D.7!$E$8:$E$11</c:f>
              <c:numCache>
                <c:formatCode>#,##0</c:formatCode>
                <c:ptCount val="4"/>
                <c:pt idx="0">
                  <c:v>18.347287999999999</c:v>
                </c:pt>
                <c:pt idx="1">
                  <c:v>510.96632499999998</c:v>
                </c:pt>
                <c:pt idx="2">
                  <c:v>25.135414999999998</c:v>
                </c:pt>
                <c:pt idx="3">
                  <c:v>242.11623299999999</c:v>
                </c:pt>
              </c:numCache>
            </c:numRef>
          </c:val>
        </c:ser>
        <c:ser>
          <c:idx val="3"/>
          <c:order val="3"/>
          <c:tx>
            <c:strRef>
              <c:f>D.7!$F$7</c:f>
              <c:strCache>
                <c:ptCount val="1"/>
                <c:pt idx="0">
                  <c:v>Ciencias Agrícolas</c:v>
                </c:pt>
              </c:strCache>
            </c:strRef>
          </c:tx>
          <c:invertIfNegative val="0"/>
          <c:cat>
            <c:strRef>
              <c:f>D.7!$B$8:$B$11</c:f>
              <c:strCache>
                <c:ptCount val="4"/>
                <c:pt idx="0">
                  <c:v>Estado</c:v>
                </c:pt>
                <c:pt idx="1">
                  <c:v>Ed. Superior</c:v>
                </c:pt>
                <c:pt idx="2">
                  <c:v>IPSFL</c:v>
                </c:pt>
                <c:pt idx="3">
                  <c:v>Empresas</c:v>
                </c:pt>
              </c:strCache>
            </c:strRef>
          </c:cat>
          <c:val>
            <c:numRef>
              <c:f>D.7!$F$8:$F$11</c:f>
              <c:numCache>
                <c:formatCode>#,##0</c:formatCode>
                <c:ptCount val="4"/>
                <c:pt idx="0">
                  <c:v>313.56249400000002</c:v>
                </c:pt>
                <c:pt idx="1">
                  <c:v>196.250924</c:v>
                </c:pt>
                <c:pt idx="2">
                  <c:v>43.108317</c:v>
                </c:pt>
                <c:pt idx="3">
                  <c:v>228.093301</c:v>
                </c:pt>
              </c:numCache>
            </c:numRef>
          </c:val>
        </c:ser>
        <c:ser>
          <c:idx val="4"/>
          <c:order val="4"/>
          <c:tx>
            <c:strRef>
              <c:f>D.7!$G$7</c:f>
              <c:strCache>
                <c:ptCount val="1"/>
                <c:pt idx="0">
                  <c:v>Ciencias Sociales</c:v>
                </c:pt>
              </c:strCache>
            </c:strRef>
          </c:tx>
          <c:invertIfNegative val="0"/>
          <c:cat>
            <c:strRef>
              <c:f>D.7!$B$8:$B$11</c:f>
              <c:strCache>
                <c:ptCount val="4"/>
                <c:pt idx="0">
                  <c:v>Estado</c:v>
                </c:pt>
                <c:pt idx="1">
                  <c:v>Ed. Superior</c:v>
                </c:pt>
                <c:pt idx="2">
                  <c:v>IPSFL</c:v>
                </c:pt>
                <c:pt idx="3">
                  <c:v>Empresas</c:v>
                </c:pt>
              </c:strCache>
            </c:strRef>
          </c:cat>
          <c:val>
            <c:numRef>
              <c:f>D.7!$G$8:$G$11</c:f>
              <c:numCache>
                <c:formatCode>#,##0</c:formatCode>
                <c:ptCount val="4"/>
                <c:pt idx="0">
                  <c:v>189.44297299999999</c:v>
                </c:pt>
                <c:pt idx="1">
                  <c:v>636.75041599999997</c:v>
                </c:pt>
                <c:pt idx="2">
                  <c:v>43.235076999999997</c:v>
                </c:pt>
                <c:pt idx="3">
                  <c:v>32.094164999999997</c:v>
                </c:pt>
              </c:numCache>
            </c:numRef>
          </c:val>
        </c:ser>
        <c:ser>
          <c:idx val="5"/>
          <c:order val="5"/>
          <c:tx>
            <c:strRef>
              <c:f>D.7!$H$7</c:f>
              <c:strCache>
                <c:ptCount val="1"/>
                <c:pt idx="0">
                  <c:v>Humanidades</c:v>
                </c:pt>
              </c:strCache>
            </c:strRef>
          </c:tx>
          <c:invertIfNegative val="0"/>
          <c:cat>
            <c:strRef>
              <c:f>D.7!$B$8:$B$11</c:f>
              <c:strCache>
                <c:ptCount val="4"/>
                <c:pt idx="0">
                  <c:v>Estado</c:v>
                </c:pt>
                <c:pt idx="1">
                  <c:v>Ed. Superior</c:v>
                </c:pt>
                <c:pt idx="2">
                  <c:v>IPSFL</c:v>
                </c:pt>
                <c:pt idx="3">
                  <c:v>Empresas</c:v>
                </c:pt>
              </c:strCache>
            </c:strRef>
          </c:cat>
          <c:val>
            <c:numRef>
              <c:f>D.7!$H$8:$H$11</c:f>
              <c:numCache>
                <c:formatCode>#,##0</c:formatCode>
                <c:ptCount val="4"/>
                <c:pt idx="0">
                  <c:v>8.1083320000000008</c:v>
                </c:pt>
                <c:pt idx="1">
                  <c:v>235.45593600000001</c:v>
                </c:pt>
                <c:pt idx="2">
                  <c:v>4.4874989999999997</c:v>
                </c:pt>
                <c:pt idx="3">
                  <c:v>17.523332</c:v>
                </c:pt>
              </c:numCache>
            </c:numRef>
          </c:val>
        </c:ser>
        <c:dLbls>
          <c:showLegendKey val="0"/>
          <c:showVal val="0"/>
          <c:showCatName val="0"/>
          <c:showSerName val="0"/>
          <c:showPercent val="0"/>
          <c:showBubbleSize val="0"/>
        </c:dLbls>
        <c:gapWidth val="150"/>
        <c:axId val="243027488"/>
        <c:axId val="243028048"/>
      </c:barChart>
      <c:catAx>
        <c:axId val="243027488"/>
        <c:scaling>
          <c:orientation val="minMax"/>
        </c:scaling>
        <c:delete val="0"/>
        <c:axPos val="b"/>
        <c:numFmt formatCode="General" sourceLinked="0"/>
        <c:majorTickMark val="out"/>
        <c:minorTickMark val="none"/>
        <c:tickLblPos val="nextTo"/>
        <c:crossAx val="243028048"/>
        <c:crosses val="autoZero"/>
        <c:auto val="1"/>
        <c:lblAlgn val="ctr"/>
        <c:lblOffset val="100"/>
        <c:noMultiLvlLbl val="0"/>
      </c:catAx>
      <c:valAx>
        <c:axId val="243028048"/>
        <c:scaling>
          <c:orientation val="minMax"/>
        </c:scaling>
        <c:delete val="0"/>
        <c:axPos val="l"/>
        <c:majorGridlines>
          <c:spPr>
            <a:ln>
              <a:solidFill>
                <a:schemeClr val="bg1"/>
              </a:solidFill>
            </a:ln>
          </c:spPr>
        </c:majorGridlines>
        <c:numFmt formatCode="#,##0" sourceLinked="1"/>
        <c:majorTickMark val="out"/>
        <c:minorTickMark val="none"/>
        <c:tickLblPos val="nextTo"/>
        <c:crossAx val="243027488"/>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Porcentaje Mujeres Según Ocupación </a:t>
            </a:r>
          </a:p>
          <a:p>
            <a:pPr>
              <a:defRPr sz="1600"/>
            </a:pPr>
            <a:r>
              <a:rPr lang="es-CL" sz="1600"/>
              <a:t>(Promedio Mensual Anual, 2014p)</a:t>
            </a:r>
          </a:p>
        </c:rich>
      </c:tx>
      <c:layout>
        <c:manualLayout>
          <c:xMode val="edge"/>
          <c:yMode val="edge"/>
          <c:x val="0.21320559930008748"/>
          <c:y val="2.7777777777777776E-2"/>
        </c:manualLayout>
      </c:layout>
      <c:overlay val="0"/>
    </c:title>
    <c:autoTitleDeleted val="0"/>
    <c:plotArea>
      <c:layout/>
      <c:barChart>
        <c:barDir val="bar"/>
        <c:grouping val="clustered"/>
        <c:varyColors val="0"/>
        <c:ser>
          <c:idx val="0"/>
          <c:order val="0"/>
          <c:tx>
            <c:strRef>
              <c:f>D.8!$B$27</c:f>
              <c:strCache>
                <c:ptCount val="1"/>
                <c:pt idx="0">
                  <c:v>Estado</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D.8!$C$36:$E$36</c:f>
              <c:strCache>
                <c:ptCount val="3"/>
                <c:pt idx="0">
                  <c:v>Investigadores</c:v>
                </c:pt>
                <c:pt idx="1">
                  <c:v>Técnicos y Personal Asimilado</c:v>
                </c:pt>
                <c:pt idx="2">
                  <c:v>Otro Personal de Apoyo</c:v>
                </c:pt>
              </c:strCache>
            </c:strRef>
          </c:cat>
          <c:val>
            <c:numRef>
              <c:f>D.8!$C$27:$E$27</c:f>
              <c:numCache>
                <c:formatCode>0%</c:formatCode>
                <c:ptCount val="3"/>
                <c:pt idx="0">
                  <c:v>0.37727746112963206</c:v>
                </c:pt>
                <c:pt idx="1">
                  <c:v>0.44466600199401796</c:v>
                </c:pt>
                <c:pt idx="2">
                  <c:v>0.46016922361667717</c:v>
                </c:pt>
              </c:numCache>
            </c:numRef>
          </c:val>
        </c:ser>
        <c:ser>
          <c:idx val="1"/>
          <c:order val="1"/>
          <c:tx>
            <c:strRef>
              <c:f>D.8!$B$28</c:f>
              <c:strCache>
                <c:ptCount val="1"/>
                <c:pt idx="0">
                  <c:v>Ed. Superior</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D.8!$C$36:$E$36</c:f>
              <c:strCache>
                <c:ptCount val="3"/>
                <c:pt idx="0">
                  <c:v>Investigadores</c:v>
                </c:pt>
                <c:pt idx="1">
                  <c:v>Técnicos y Personal Asimilado</c:v>
                </c:pt>
                <c:pt idx="2">
                  <c:v>Otro Personal de Apoyo</c:v>
                </c:pt>
              </c:strCache>
            </c:strRef>
          </c:cat>
          <c:val>
            <c:numRef>
              <c:f>D.8!$C$28:$E$28</c:f>
              <c:numCache>
                <c:formatCode>0%</c:formatCode>
                <c:ptCount val="3"/>
                <c:pt idx="0">
                  <c:v>0.32571819833360099</c:v>
                </c:pt>
                <c:pt idx="1">
                  <c:v>0.48374292152518544</c:v>
                </c:pt>
                <c:pt idx="2">
                  <c:v>0.51886372285961679</c:v>
                </c:pt>
              </c:numCache>
            </c:numRef>
          </c:val>
        </c:ser>
        <c:ser>
          <c:idx val="2"/>
          <c:order val="2"/>
          <c:tx>
            <c:strRef>
              <c:f>D.8!$B$29</c:f>
              <c:strCache>
                <c:ptCount val="1"/>
                <c:pt idx="0">
                  <c:v>IPSFL</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D.8!$C$36:$E$36</c:f>
              <c:strCache>
                <c:ptCount val="3"/>
                <c:pt idx="0">
                  <c:v>Investigadores</c:v>
                </c:pt>
                <c:pt idx="1">
                  <c:v>Técnicos y Personal Asimilado</c:v>
                </c:pt>
                <c:pt idx="2">
                  <c:v>Otro Personal de Apoyo</c:v>
                </c:pt>
              </c:strCache>
            </c:strRef>
          </c:cat>
          <c:val>
            <c:numRef>
              <c:f>D.8!$C$29:$E$29</c:f>
              <c:numCache>
                <c:formatCode>0%</c:formatCode>
                <c:ptCount val="3"/>
                <c:pt idx="0">
                  <c:v>0.34784519403641889</c:v>
                </c:pt>
                <c:pt idx="1">
                  <c:v>0.48025002661463895</c:v>
                </c:pt>
                <c:pt idx="2">
                  <c:v>0.79537267071185436</c:v>
                </c:pt>
              </c:numCache>
            </c:numRef>
          </c:val>
        </c:ser>
        <c:ser>
          <c:idx val="3"/>
          <c:order val="3"/>
          <c:tx>
            <c:strRef>
              <c:f>D.8!$B$30</c:f>
              <c:strCache>
                <c:ptCount val="1"/>
                <c:pt idx="0">
                  <c:v>Empresas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D.8!$C$36:$E$36</c:f>
              <c:strCache>
                <c:ptCount val="3"/>
                <c:pt idx="0">
                  <c:v>Investigadores</c:v>
                </c:pt>
                <c:pt idx="1">
                  <c:v>Técnicos y Personal Asimilado</c:v>
                </c:pt>
                <c:pt idx="2">
                  <c:v>Otro Personal de Apoyo</c:v>
                </c:pt>
              </c:strCache>
            </c:strRef>
          </c:cat>
          <c:val>
            <c:numRef>
              <c:f>D.8!$C$30:$E$30</c:f>
              <c:numCache>
                <c:formatCode>0%</c:formatCode>
                <c:ptCount val="3"/>
                <c:pt idx="0">
                  <c:v>0.26087484176910386</c:v>
                </c:pt>
                <c:pt idx="1">
                  <c:v>0.35739483364524161</c:v>
                </c:pt>
                <c:pt idx="2">
                  <c:v>0.40266892201808296</c:v>
                </c:pt>
              </c:numCache>
            </c:numRef>
          </c:val>
        </c:ser>
        <c:dLbls>
          <c:dLblPos val="outEnd"/>
          <c:showLegendKey val="0"/>
          <c:showVal val="1"/>
          <c:showCatName val="0"/>
          <c:showSerName val="0"/>
          <c:showPercent val="0"/>
          <c:showBubbleSize val="0"/>
        </c:dLbls>
        <c:gapWidth val="150"/>
        <c:axId val="243032528"/>
        <c:axId val="243033088"/>
      </c:barChart>
      <c:catAx>
        <c:axId val="243032528"/>
        <c:scaling>
          <c:orientation val="minMax"/>
        </c:scaling>
        <c:delete val="0"/>
        <c:axPos val="l"/>
        <c:numFmt formatCode="General" sourceLinked="0"/>
        <c:majorTickMark val="out"/>
        <c:minorTickMark val="none"/>
        <c:tickLblPos val="nextTo"/>
        <c:crossAx val="243033088"/>
        <c:crosses val="autoZero"/>
        <c:auto val="1"/>
        <c:lblAlgn val="ctr"/>
        <c:lblOffset val="100"/>
        <c:noMultiLvlLbl val="0"/>
      </c:catAx>
      <c:valAx>
        <c:axId val="243033088"/>
        <c:scaling>
          <c:orientation val="minMax"/>
          <c:max val="0.60000000000000009"/>
        </c:scaling>
        <c:delete val="0"/>
        <c:axPos val="b"/>
        <c:majorGridlines>
          <c:spPr>
            <a:ln>
              <a:solidFill>
                <a:schemeClr val="bg1"/>
              </a:solidFill>
            </a:ln>
          </c:spPr>
        </c:majorGridlines>
        <c:numFmt formatCode="0%" sourceLinked="1"/>
        <c:majorTickMark val="out"/>
        <c:minorTickMark val="none"/>
        <c:tickLblPos val="nextTo"/>
        <c:crossAx val="243032528"/>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Porcentaje Mujeres Según Ocupación </a:t>
            </a:r>
          </a:p>
          <a:p>
            <a:pPr>
              <a:defRPr sz="1600"/>
            </a:pPr>
            <a:r>
              <a:rPr lang="es-CL" sz="1600"/>
              <a:t>(JCE, 2014p)</a:t>
            </a:r>
          </a:p>
        </c:rich>
      </c:tx>
      <c:layout>
        <c:manualLayout>
          <c:xMode val="edge"/>
          <c:yMode val="edge"/>
          <c:x val="0.21320559930008748"/>
          <c:y val="2.7777777777777776E-2"/>
        </c:manualLayout>
      </c:layout>
      <c:overlay val="0"/>
    </c:title>
    <c:autoTitleDeleted val="0"/>
    <c:plotArea>
      <c:layout/>
      <c:barChart>
        <c:barDir val="bar"/>
        <c:grouping val="clustered"/>
        <c:varyColors val="0"/>
        <c:ser>
          <c:idx val="0"/>
          <c:order val="0"/>
          <c:tx>
            <c:strRef>
              <c:f>D.8!$B$37</c:f>
              <c:strCache>
                <c:ptCount val="1"/>
                <c:pt idx="0">
                  <c:v>Estado</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D.8!$C$36:$E$36</c:f>
              <c:strCache>
                <c:ptCount val="3"/>
                <c:pt idx="0">
                  <c:v>Investigadores</c:v>
                </c:pt>
                <c:pt idx="1">
                  <c:v>Técnicos y Personal Asimilado</c:v>
                </c:pt>
                <c:pt idx="2">
                  <c:v>Otro Personal de Apoyo</c:v>
                </c:pt>
              </c:strCache>
            </c:strRef>
          </c:cat>
          <c:val>
            <c:numRef>
              <c:f>D.8!$C$37:$E$37</c:f>
              <c:numCache>
                <c:formatCode>0%</c:formatCode>
                <c:ptCount val="3"/>
                <c:pt idx="0">
                  <c:v>0.3703309194886425</c:v>
                </c:pt>
                <c:pt idx="1">
                  <c:v>0.4119008343332497</c:v>
                </c:pt>
                <c:pt idx="2">
                  <c:v>0.42970766927945864</c:v>
                </c:pt>
              </c:numCache>
            </c:numRef>
          </c:val>
        </c:ser>
        <c:ser>
          <c:idx val="1"/>
          <c:order val="1"/>
          <c:tx>
            <c:strRef>
              <c:f>D.8!$B$38</c:f>
              <c:strCache>
                <c:ptCount val="1"/>
                <c:pt idx="0">
                  <c:v>Ed. Superior</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D.8!$C$36:$E$36</c:f>
              <c:strCache>
                <c:ptCount val="3"/>
                <c:pt idx="0">
                  <c:v>Investigadores</c:v>
                </c:pt>
                <c:pt idx="1">
                  <c:v>Técnicos y Personal Asimilado</c:v>
                </c:pt>
                <c:pt idx="2">
                  <c:v>Otro Personal de Apoyo</c:v>
                </c:pt>
              </c:strCache>
            </c:strRef>
          </c:cat>
          <c:val>
            <c:numRef>
              <c:f>D.8!$C$38:$E$38</c:f>
              <c:numCache>
                <c:formatCode>0%</c:formatCode>
                <c:ptCount val="3"/>
                <c:pt idx="0">
                  <c:v>0.32377462282920311</c:v>
                </c:pt>
                <c:pt idx="1">
                  <c:v>0.47868234504830837</c:v>
                </c:pt>
                <c:pt idx="2">
                  <c:v>0.48599208210799522</c:v>
                </c:pt>
              </c:numCache>
            </c:numRef>
          </c:val>
        </c:ser>
        <c:ser>
          <c:idx val="2"/>
          <c:order val="2"/>
          <c:tx>
            <c:strRef>
              <c:f>D.8!$B$39</c:f>
              <c:strCache>
                <c:ptCount val="1"/>
                <c:pt idx="0">
                  <c:v>IPSFL</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D.8!$C$36:$E$36</c:f>
              <c:strCache>
                <c:ptCount val="3"/>
                <c:pt idx="0">
                  <c:v>Investigadores</c:v>
                </c:pt>
                <c:pt idx="1">
                  <c:v>Técnicos y Personal Asimilado</c:v>
                </c:pt>
                <c:pt idx="2">
                  <c:v>Otro Personal de Apoyo</c:v>
                </c:pt>
              </c:strCache>
            </c:strRef>
          </c:cat>
          <c:val>
            <c:numRef>
              <c:f>D.8!$C$39:$E$39</c:f>
              <c:numCache>
                <c:formatCode>0%</c:formatCode>
                <c:ptCount val="3"/>
                <c:pt idx="0">
                  <c:v>0.35871170081279213</c:v>
                </c:pt>
                <c:pt idx="1">
                  <c:v>0.47594953868477496</c:v>
                </c:pt>
                <c:pt idx="2">
                  <c:v>0.56297940446647166</c:v>
                </c:pt>
              </c:numCache>
            </c:numRef>
          </c:val>
        </c:ser>
        <c:ser>
          <c:idx val="3"/>
          <c:order val="3"/>
          <c:tx>
            <c:strRef>
              <c:f>D.8!$B$40</c:f>
              <c:strCache>
                <c:ptCount val="1"/>
                <c:pt idx="0">
                  <c:v>Empresas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D.8!$C$36:$E$36</c:f>
              <c:strCache>
                <c:ptCount val="3"/>
                <c:pt idx="0">
                  <c:v>Investigadores</c:v>
                </c:pt>
                <c:pt idx="1">
                  <c:v>Técnicos y Personal Asimilado</c:v>
                </c:pt>
                <c:pt idx="2">
                  <c:v>Otro Personal de Apoyo</c:v>
                </c:pt>
              </c:strCache>
            </c:strRef>
          </c:cat>
          <c:val>
            <c:numRef>
              <c:f>D.8!$C$40:$E$40</c:f>
              <c:numCache>
                <c:formatCode>0%</c:formatCode>
                <c:ptCount val="3"/>
                <c:pt idx="0">
                  <c:v>0.27227429551749593</c:v>
                </c:pt>
                <c:pt idx="1">
                  <c:v>0.38991889576852407</c:v>
                </c:pt>
                <c:pt idx="2">
                  <c:v>0.40281910288190331</c:v>
                </c:pt>
              </c:numCache>
            </c:numRef>
          </c:val>
        </c:ser>
        <c:dLbls>
          <c:dLblPos val="outEnd"/>
          <c:showLegendKey val="0"/>
          <c:showVal val="1"/>
          <c:showCatName val="0"/>
          <c:showSerName val="0"/>
          <c:showPercent val="0"/>
          <c:showBubbleSize val="0"/>
        </c:dLbls>
        <c:gapWidth val="150"/>
        <c:axId val="243048352"/>
        <c:axId val="243048912"/>
      </c:barChart>
      <c:catAx>
        <c:axId val="243048352"/>
        <c:scaling>
          <c:orientation val="minMax"/>
        </c:scaling>
        <c:delete val="0"/>
        <c:axPos val="l"/>
        <c:numFmt formatCode="General" sourceLinked="0"/>
        <c:majorTickMark val="out"/>
        <c:minorTickMark val="none"/>
        <c:tickLblPos val="nextTo"/>
        <c:crossAx val="243048912"/>
        <c:crosses val="autoZero"/>
        <c:auto val="1"/>
        <c:lblAlgn val="ctr"/>
        <c:lblOffset val="100"/>
        <c:noMultiLvlLbl val="0"/>
      </c:catAx>
      <c:valAx>
        <c:axId val="243048912"/>
        <c:scaling>
          <c:orientation val="minMax"/>
        </c:scaling>
        <c:delete val="0"/>
        <c:axPos val="b"/>
        <c:majorGridlines>
          <c:spPr>
            <a:ln>
              <a:solidFill>
                <a:schemeClr val="bg1"/>
              </a:solidFill>
            </a:ln>
          </c:spPr>
        </c:majorGridlines>
        <c:numFmt formatCode="0%" sourceLinked="1"/>
        <c:majorTickMark val="out"/>
        <c:minorTickMark val="none"/>
        <c:tickLblPos val="nextTo"/>
        <c:crossAx val="243048352"/>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n-US" sz="1600"/>
              <a:t>Porcentaje Mujeres Según Nivel de Titulación Formal (Promedio Mensual Anual, 2014)</a:t>
            </a:r>
          </a:p>
        </c:rich>
      </c:tx>
      <c:overlay val="0"/>
    </c:title>
    <c:autoTitleDeleted val="0"/>
    <c:plotArea>
      <c:layout/>
      <c:barChart>
        <c:barDir val="bar"/>
        <c:grouping val="clustered"/>
        <c:varyColors val="0"/>
        <c:ser>
          <c:idx val="0"/>
          <c:order val="0"/>
          <c:tx>
            <c:strRef>
              <c:f>D.9!$B$25</c:f>
              <c:strCache>
                <c:ptCount val="1"/>
                <c:pt idx="0">
                  <c:v>Estado</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D.9!$C$24:$G$24</c:f>
              <c:strCache>
                <c:ptCount val="5"/>
                <c:pt idx="0">
                  <c:v>Doctorado</c:v>
                </c:pt>
                <c:pt idx="1">
                  <c:v>Magister</c:v>
                </c:pt>
                <c:pt idx="2">
                  <c:v>Profesional y/o Licenciado</c:v>
                </c:pt>
                <c:pt idx="3">
                  <c:v>Técnico Superior</c:v>
                </c:pt>
                <c:pt idx="4">
                  <c:v>Otros</c:v>
                </c:pt>
              </c:strCache>
            </c:strRef>
          </c:cat>
          <c:val>
            <c:numRef>
              <c:f>D.9!$C$25:$G$25</c:f>
              <c:numCache>
                <c:formatCode>0%</c:formatCode>
                <c:ptCount val="5"/>
                <c:pt idx="0">
                  <c:v>0.23324628458848182</c:v>
                </c:pt>
                <c:pt idx="1">
                  <c:v>0.45460666957373452</c:v>
                </c:pt>
                <c:pt idx="2">
                  <c:v>0.4213088240765403</c:v>
                </c:pt>
                <c:pt idx="3">
                  <c:v>0.43319370694127912</c:v>
                </c:pt>
                <c:pt idx="4">
                  <c:v>0.42252120114725666</c:v>
                </c:pt>
              </c:numCache>
            </c:numRef>
          </c:val>
        </c:ser>
        <c:ser>
          <c:idx val="1"/>
          <c:order val="1"/>
          <c:tx>
            <c:strRef>
              <c:f>D.9!$B$26</c:f>
              <c:strCache>
                <c:ptCount val="1"/>
                <c:pt idx="0">
                  <c:v>Ed. Superior</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D.9!$C$24:$G$24</c:f>
              <c:strCache>
                <c:ptCount val="5"/>
                <c:pt idx="0">
                  <c:v>Doctorado</c:v>
                </c:pt>
                <c:pt idx="1">
                  <c:v>Magister</c:v>
                </c:pt>
                <c:pt idx="2">
                  <c:v>Profesional y/o Licenciado</c:v>
                </c:pt>
                <c:pt idx="3">
                  <c:v>Técnico Superior</c:v>
                </c:pt>
                <c:pt idx="4">
                  <c:v>Otros</c:v>
                </c:pt>
              </c:strCache>
            </c:strRef>
          </c:cat>
          <c:val>
            <c:numRef>
              <c:f>D.9!$C$26:$G$26</c:f>
              <c:numCache>
                <c:formatCode>0%</c:formatCode>
                <c:ptCount val="5"/>
                <c:pt idx="0">
                  <c:v>0.28503450087591298</c:v>
                </c:pt>
                <c:pt idx="1">
                  <c:v>0.46087660576636408</c:v>
                </c:pt>
                <c:pt idx="2">
                  <c:v>0.45121746093710374</c:v>
                </c:pt>
                <c:pt idx="3">
                  <c:v>0.56710499838391448</c:v>
                </c:pt>
                <c:pt idx="4">
                  <c:v>0.51692560683300992</c:v>
                </c:pt>
              </c:numCache>
            </c:numRef>
          </c:val>
        </c:ser>
        <c:ser>
          <c:idx val="2"/>
          <c:order val="2"/>
          <c:tx>
            <c:strRef>
              <c:f>D.9!$B$27</c:f>
              <c:strCache>
                <c:ptCount val="1"/>
                <c:pt idx="0">
                  <c:v>IPSFL</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D.9!$C$24:$G$24</c:f>
              <c:strCache>
                <c:ptCount val="5"/>
                <c:pt idx="0">
                  <c:v>Doctorado</c:v>
                </c:pt>
                <c:pt idx="1">
                  <c:v>Magister</c:v>
                </c:pt>
                <c:pt idx="2">
                  <c:v>Profesional y/o Licenciado</c:v>
                </c:pt>
                <c:pt idx="3">
                  <c:v>Técnico Superior</c:v>
                </c:pt>
                <c:pt idx="4">
                  <c:v>Otros</c:v>
                </c:pt>
              </c:strCache>
            </c:strRef>
          </c:cat>
          <c:val>
            <c:numRef>
              <c:f>D.9!$C$27:$G$27</c:f>
              <c:numCache>
                <c:formatCode>0%</c:formatCode>
                <c:ptCount val="5"/>
                <c:pt idx="0">
                  <c:v>0.29617028389806094</c:v>
                </c:pt>
                <c:pt idx="1">
                  <c:v>0.42839837198451425</c:v>
                </c:pt>
                <c:pt idx="2">
                  <c:v>0.5547114281247274</c:v>
                </c:pt>
                <c:pt idx="3">
                  <c:v>0.42179756334516488</c:v>
                </c:pt>
                <c:pt idx="4">
                  <c:v>0.41034399296026763</c:v>
                </c:pt>
              </c:numCache>
            </c:numRef>
          </c:val>
        </c:ser>
        <c:ser>
          <c:idx val="3"/>
          <c:order val="3"/>
          <c:tx>
            <c:strRef>
              <c:f>D.9!$B$28</c:f>
              <c:strCache>
                <c:ptCount val="1"/>
                <c:pt idx="0">
                  <c:v>Empresas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D.9!$C$24:$G$24</c:f>
              <c:strCache>
                <c:ptCount val="5"/>
                <c:pt idx="0">
                  <c:v>Doctorado</c:v>
                </c:pt>
                <c:pt idx="1">
                  <c:v>Magister</c:v>
                </c:pt>
                <c:pt idx="2">
                  <c:v>Profesional y/o Licenciado</c:v>
                </c:pt>
                <c:pt idx="3">
                  <c:v>Técnico Superior</c:v>
                </c:pt>
                <c:pt idx="4">
                  <c:v>Otros</c:v>
                </c:pt>
              </c:strCache>
            </c:strRef>
          </c:cat>
          <c:val>
            <c:numRef>
              <c:f>D.9!$C$28:$G$28</c:f>
              <c:numCache>
                <c:formatCode>0%</c:formatCode>
                <c:ptCount val="5"/>
                <c:pt idx="0">
                  <c:v>0.33207245325058249</c:v>
                </c:pt>
                <c:pt idx="1">
                  <c:v>0.24995149714803383</c:v>
                </c:pt>
                <c:pt idx="2">
                  <c:v>0.27394610638226308</c:v>
                </c:pt>
                <c:pt idx="3">
                  <c:v>0.34678884130071669</c:v>
                </c:pt>
                <c:pt idx="4">
                  <c:v>0.41381841604033925</c:v>
                </c:pt>
              </c:numCache>
            </c:numRef>
          </c:val>
        </c:ser>
        <c:dLbls>
          <c:dLblPos val="outEnd"/>
          <c:showLegendKey val="0"/>
          <c:showVal val="1"/>
          <c:showCatName val="0"/>
          <c:showSerName val="0"/>
          <c:showPercent val="0"/>
          <c:showBubbleSize val="0"/>
        </c:dLbls>
        <c:gapWidth val="150"/>
        <c:axId val="243053392"/>
        <c:axId val="243053952"/>
      </c:barChart>
      <c:catAx>
        <c:axId val="243053392"/>
        <c:scaling>
          <c:orientation val="minMax"/>
        </c:scaling>
        <c:delete val="0"/>
        <c:axPos val="l"/>
        <c:numFmt formatCode="General" sourceLinked="0"/>
        <c:majorTickMark val="out"/>
        <c:minorTickMark val="none"/>
        <c:tickLblPos val="nextTo"/>
        <c:crossAx val="243053952"/>
        <c:crosses val="autoZero"/>
        <c:auto val="1"/>
        <c:lblAlgn val="ctr"/>
        <c:lblOffset val="100"/>
        <c:noMultiLvlLbl val="0"/>
      </c:catAx>
      <c:valAx>
        <c:axId val="243053952"/>
        <c:scaling>
          <c:orientation val="minMax"/>
        </c:scaling>
        <c:delete val="0"/>
        <c:axPos val="b"/>
        <c:majorGridlines>
          <c:spPr>
            <a:ln>
              <a:solidFill>
                <a:schemeClr val="bg1"/>
              </a:solidFill>
            </a:ln>
          </c:spPr>
        </c:majorGridlines>
        <c:numFmt formatCode="0%" sourceLinked="1"/>
        <c:majorTickMark val="out"/>
        <c:minorTickMark val="none"/>
        <c:tickLblPos val="nextTo"/>
        <c:crossAx val="243053392"/>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600"/>
            </a:pPr>
            <a:r>
              <a:rPr lang="en-US" sz="1600"/>
              <a:t>Personal I+D por Cada Mil Trabajadores 2013</a:t>
            </a:r>
          </a:p>
          <a:p>
            <a:pPr>
              <a:defRPr sz="1600"/>
            </a:pPr>
            <a:r>
              <a:rPr lang="en-US" sz="1600"/>
              <a:t> (2014 Para Chile)</a:t>
            </a:r>
          </a:p>
          <a:p>
            <a:pPr>
              <a:defRPr sz="1600"/>
            </a:pPr>
            <a:endParaRPr lang="en-US" sz="1600"/>
          </a:p>
          <a:p>
            <a:pPr>
              <a:defRPr sz="1600"/>
            </a:pPr>
            <a:endParaRPr lang="en-US" sz="1600"/>
          </a:p>
          <a:p>
            <a:pPr>
              <a:defRPr sz="1600"/>
            </a:pPr>
            <a:endParaRPr lang="en-US" sz="1600"/>
          </a:p>
        </c:rich>
      </c:tx>
      <c:layout>
        <c:manualLayout>
          <c:xMode val="edge"/>
          <c:yMode val="edge"/>
          <c:x val="0.22562533246818539"/>
          <c:y val="1.4583330941054636E-2"/>
        </c:manualLayout>
      </c:layout>
      <c:overlay val="0"/>
    </c:title>
    <c:autoTitleDeleted val="0"/>
    <c:plotArea>
      <c:layout>
        <c:manualLayout>
          <c:layoutTarget val="inner"/>
          <c:xMode val="edge"/>
          <c:yMode val="edge"/>
          <c:x val="0.15328037997790792"/>
          <c:y val="9.4433395142654739E-2"/>
          <c:w val="0.82046734690708034"/>
          <c:h val="0.8669117672388833"/>
        </c:manualLayout>
      </c:layout>
      <c:barChart>
        <c:barDir val="bar"/>
        <c:grouping val="clustered"/>
        <c:varyColors val="0"/>
        <c:ser>
          <c:idx val="0"/>
          <c:order val="0"/>
          <c:invertIfNegative val="0"/>
          <c:dPt>
            <c:idx val="0"/>
            <c:invertIfNegative val="0"/>
            <c:bubble3D val="0"/>
            <c:spPr>
              <a:solidFill>
                <a:schemeClr val="accent1"/>
              </a:solidFill>
            </c:spPr>
          </c:dPt>
          <c:dPt>
            <c:idx val="1"/>
            <c:invertIfNegative val="0"/>
            <c:bubble3D val="0"/>
            <c:spPr>
              <a:solidFill>
                <a:schemeClr val="accent6"/>
              </a:solidFill>
            </c:spPr>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Pt>
            <c:idx val="10"/>
            <c:invertIfNegative val="0"/>
            <c:bubble3D val="0"/>
          </c:dPt>
          <c:dPt>
            <c:idx val="11"/>
            <c:invertIfNegative val="0"/>
            <c:bubble3D val="0"/>
          </c:dPt>
          <c:dPt>
            <c:idx val="12"/>
            <c:invertIfNegative val="0"/>
            <c:bubble3D val="0"/>
          </c:dPt>
          <c:dPt>
            <c:idx val="13"/>
            <c:invertIfNegative val="0"/>
            <c:bubble3D val="0"/>
            <c:spPr>
              <a:solidFill>
                <a:schemeClr val="accent6"/>
              </a:solidFill>
            </c:spPr>
          </c:dPt>
          <c:dPt>
            <c:idx val="14"/>
            <c:invertIfNegative val="0"/>
            <c:bubble3D val="0"/>
          </c:dPt>
          <c:dPt>
            <c:idx val="15"/>
            <c:invertIfNegative val="0"/>
            <c:bubble3D val="0"/>
          </c:dPt>
          <c:dPt>
            <c:idx val="16"/>
            <c:invertIfNegative val="0"/>
            <c:bubble3D val="0"/>
          </c:dPt>
          <c:dPt>
            <c:idx val="17"/>
            <c:invertIfNegative val="0"/>
            <c:bubble3D val="0"/>
          </c:dPt>
          <c:dPt>
            <c:idx val="18"/>
            <c:invertIfNegative val="0"/>
            <c:bubble3D val="0"/>
          </c:dPt>
          <c:dPt>
            <c:idx val="19"/>
            <c:invertIfNegative val="0"/>
            <c:bubble3D val="0"/>
          </c:dPt>
          <c:dPt>
            <c:idx val="20"/>
            <c:invertIfNegative val="0"/>
            <c:bubble3D val="0"/>
            <c:spPr>
              <a:solidFill>
                <a:schemeClr val="accent1"/>
              </a:solidFill>
              <a:ln>
                <a:solidFill>
                  <a:schemeClr val="accent1"/>
                </a:solidFill>
              </a:ln>
            </c:spPr>
          </c:dPt>
          <c:dPt>
            <c:idx val="21"/>
            <c:invertIfNegative val="0"/>
            <c:bubble3D val="0"/>
          </c:dPt>
          <c:dPt>
            <c:idx val="22"/>
            <c:invertIfNegative val="0"/>
            <c:bubble3D val="0"/>
          </c:dPt>
          <c:dPt>
            <c:idx val="23"/>
            <c:invertIfNegative val="0"/>
            <c:bubble3D val="0"/>
          </c:dPt>
          <c:dPt>
            <c:idx val="24"/>
            <c:invertIfNegative val="0"/>
            <c:bubble3D val="0"/>
          </c:dPt>
          <c:dPt>
            <c:idx val="25"/>
            <c:invertIfNegative val="0"/>
            <c:bubble3D val="0"/>
          </c:dPt>
          <c:dPt>
            <c:idx val="26"/>
            <c:invertIfNegative val="0"/>
            <c:bubble3D val="0"/>
            <c:spPr>
              <a:solidFill>
                <a:schemeClr val="accent1"/>
              </a:solidFill>
            </c:spPr>
          </c:dPt>
          <c:dPt>
            <c:idx val="27"/>
            <c:invertIfNegative val="0"/>
            <c:bubble3D val="0"/>
          </c:dPt>
          <c:dPt>
            <c:idx val="28"/>
            <c:invertIfNegative val="0"/>
            <c:bubble3D val="0"/>
          </c:dPt>
          <c:dPt>
            <c:idx val="29"/>
            <c:invertIfNegative val="0"/>
            <c:bubble3D val="0"/>
          </c:dPt>
          <c:dPt>
            <c:idx val="30"/>
            <c:invertIfNegative val="0"/>
            <c:bubble3D val="0"/>
          </c:dPt>
          <c:dPt>
            <c:idx val="31"/>
            <c:invertIfNegative val="0"/>
            <c:bubble3D val="0"/>
          </c:dPt>
          <c:dPt>
            <c:idx val="32"/>
            <c:invertIfNegative val="0"/>
            <c:bubble3D val="0"/>
          </c:dPt>
          <c:dPt>
            <c:idx val="33"/>
            <c:invertIfNegative val="0"/>
            <c:bubble3D val="0"/>
          </c:dPt>
          <c:dPt>
            <c:idx val="34"/>
            <c:invertIfNegative val="0"/>
            <c:bubble3D val="0"/>
          </c:dPt>
          <c:dPt>
            <c:idx val="35"/>
            <c:invertIfNegative val="0"/>
            <c:bubble3D val="0"/>
          </c:dPt>
          <c:dPt>
            <c:idx val="36"/>
            <c:invertIfNegative val="0"/>
            <c:bubble3D val="0"/>
          </c:dPt>
          <c:dPt>
            <c:idx val="37"/>
            <c:invertIfNegative val="0"/>
            <c:bubble3D val="0"/>
          </c:dPt>
          <c:dPt>
            <c:idx val="38"/>
            <c:invertIfNegative val="0"/>
            <c:bubble3D val="0"/>
          </c:dPt>
          <c:cat>
            <c:strRef>
              <c:f>I.3!$B$7:$B$33</c:f>
              <c:strCache>
                <c:ptCount val="27"/>
                <c:pt idx="0">
                  <c:v>Sudáfrica (2012)</c:v>
                </c:pt>
                <c:pt idx="1">
                  <c:v>Chile (2014p)</c:v>
                </c:pt>
                <c:pt idx="2">
                  <c:v>Argentina</c:v>
                </c:pt>
                <c:pt idx="3">
                  <c:v>Turquía</c:v>
                </c:pt>
                <c:pt idx="4">
                  <c:v>Polonia</c:v>
                </c:pt>
                <c:pt idx="5">
                  <c:v>Eslovaquia</c:v>
                </c:pt>
                <c:pt idx="6">
                  <c:v>Grecia</c:v>
                </c:pt>
                <c:pt idx="7">
                  <c:v>Estonia</c:v>
                </c:pt>
                <c:pt idx="8">
                  <c:v>Hungría</c:v>
                </c:pt>
                <c:pt idx="9">
                  <c:v>España</c:v>
                </c:pt>
                <c:pt idx="10">
                  <c:v>Portugal</c:v>
                </c:pt>
                <c:pt idx="11">
                  <c:v>Italia</c:v>
                </c:pt>
                <c:pt idx="12">
                  <c:v>Irlanda (2012)</c:v>
                </c:pt>
                <c:pt idx="13">
                  <c:v>Promedio Unión Europea (28 países)</c:v>
                </c:pt>
                <c:pt idx="14">
                  <c:v>Reino Unido</c:v>
                </c:pt>
                <c:pt idx="15">
                  <c:v>República Checa</c:v>
                </c:pt>
                <c:pt idx="16">
                  <c:v>Luxemburgo</c:v>
                </c:pt>
                <c:pt idx="17">
                  <c:v>Japón</c:v>
                </c:pt>
                <c:pt idx="18">
                  <c:v>Bélgica</c:v>
                </c:pt>
                <c:pt idx="19">
                  <c:v>Alemania</c:v>
                </c:pt>
                <c:pt idx="20">
                  <c:v>Noruega</c:v>
                </c:pt>
                <c:pt idx="21">
                  <c:v>Austria</c:v>
                </c:pt>
                <c:pt idx="22">
                  <c:v>Eslovenia</c:v>
                </c:pt>
                <c:pt idx="23">
                  <c:v>Corea</c:v>
                </c:pt>
                <c:pt idx="24">
                  <c:v>Suecia</c:v>
                </c:pt>
                <c:pt idx="25">
                  <c:v>Finlandia</c:v>
                </c:pt>
                <c:pt idx="26">
                  <c:v>Dinamarca</c:v>
                </c:pt>
              </c:strCache>
            </c:strRef>
          </c:cat>
          <c:val>
            <c:numRef>
              <c:f>I.3!$C$7:$C$33</c:f>
              <c:numCache>
                <c:formatCode>0.00</c:formatCode>
                <c:ptCount val="27"/>
                <c:pt idx="0" formatCode="General">
                  <c:v>1.83</c:v>
                </c:pt>
                <c:pt idx="1">
                  <c:v>2.96354593136265</c:v>
                </c:pt>
                <c:pt idx="2" formatCode="General">
                  <c:v>3.87</c:v>
                </c:pt>
                <c:pt idx="3" formatCode="General">
                  <c:v>3.92</c:v>
                </c:pt>
                <c:pt idx="4" formatCode="General">
                  <c:v>5.4</c:v>
                </c:pt>
                <c:pt idx="5" formatCode="General">
                  <c:v>6.32</c:v>
                </c:pt>
                <c:pt idx="6" formatCode="General">
                  <c:v>8.5500000000000007</c:v>
                </c:pt>
                <c:pt idx="7" formatCode="General">
                  <c:v>8.58</c:v>
                </c:pt>
                <c:pt idx="8" formatCode="General">
                  <c:v>8.6999999999999993</c:v>
                </c:pt>
                <c:pt idx="9" formatCode="General">
                  <c:v>8.77</c:v>
                </c:pt>
                <c:pt idx="10" formatCode="General">
                  <c:v>8.89</c:v>
                </c:pt>
                <c:pt idx="11" formatCode="General">
                  <c:v>9.99</c:v>
                </c:pt>
                <c:pt idx="12" formatCode="General">
                  <c:v>10.42</c:v>
                </c:pt>
                <c:pt idx="13" formatCode="General">
                  <c:v>11.19</c:v>
                </c:pt>
                <c:pt idx="14" formatCode="General">
                  <c:v>11.25</c:v>
                </c:pt>
                <c:pt idx="15" formatCode="General">
                  <c:v>11.68</c:v>
                </c:pt>
                <c:pt idx="16" formatCode="General">
                  <c:v>12.36</c:v>
                </c:pt>
                <c:pt idx="17" formatCode="General">
                  <c:v>13.16</c:v>
                </c:pt>
                <c:pt idx="18" formatCode="General">
                  <c:v>13.42</c:v>
                </c:pt>
                <c:pt idx="19" formatCode="General">
                  <c:v>14.14</c:v>
                </c:pt>
                <c:pt idx="20" formatCode="General">
                  <c:v>14.25</c:v>
                </c:pt>
                <c:pt idx="21" formatCode="General">
                  <c:v>15.02</c:v>
                </c:pt>
                <c:pt idx="22" formatCode="General">
                  <c:v>15.11</c:v>
                </c:pt>
                <c:pt idx="23" formatCode="General">
                  <c:v>15.52</c:v>
                </c:pt>
                <c:pt idx="24" formatCode="General">
                  <c:v>15.83</c:v>
                </c:pt>
                <c:pt idx="25" formatCode="General">
                  <c:v>19.66</c:v>
                </c:pt>
                <c:pt idx="26" formatCode="General">
                  <c:v>20.07</c:v>
                </c:pt>
              </c:numCache>
            </c:numRef>
          </c:val>
        </c:ser>
        <c:dLbls>
          <c:showLegendKey val="0"/>
          <c:showVal val="0"/>
          <c:showCatName val="0"/>
          <c:showSerName val="0"/>
          <c:showPercent val="0"/>
          <c:showBubbleSize val="0"/>
        </c:dLbls>
        <c:gapWidth val="150"/>
        <c:axId val="236935456"/>
        <c:axId val="236936016"/>
      </c:barChart>
      <c:catAx>
        <c:axId val="236935456"/>
        <c:scaling>
          <c:orientation val="minMax"/>
        </c:scaling>
        <c:delete val="0"/>
        <c:axPos val="l"/>
        <c:numFmt formatCode="General" sourceLinked="1"/>
        <c:majorTickMark val="out"/>
        <c:minorTickMark val="none"/>
        <c:tickLblPos val="nextTo"/>
        <c:txPr>
          <a:bodyPr rot="0" vert="horz"/>
          <a:lstStyle/>
          <a:p>
            <a:pPr>
              <a:defRPr/>
            </a:pPr>
            <a:endParaRPr lang="es-CL"/>
          </a:p>
        </c:txPr>
        <c:crossAx val="236936016"/>
        <c:crosses val="autoZero"/>
        <c:auto val="1"/>
        <c:lblAlgn val="ctr"/>
        <c:lblOffset val="100"/>
        <c:tickLblSkip val="1"/>
        <c:tickMarkSkip val="1"/>
        <c:noMultiLvlLbl val="0"/>
      </c:catAx>
      <c:valAx>
        <c:axId val="236936016"/>
        <c:scaling>
          <c:orientation val="minMax"/>
        </c:scaling>
        <c:delete val="0"/>
        <c:axPos val="b"/>
        <c:majorGridlines/>
        <c:numFmt formatCode="0" sourceLinked="0"/>
        <c:majorTickMark val="out"/>
        <c:minorTickMark val="none"/>
        <c:tickLblPos val="nextTo"/>
        <c:txPr>
          <a:bodyPr rot="0" vert="horz"/>
          <a:lstStyle/>
          <a:p>
            <a:pPr>
              <a:defRPr/>
            </a:pPr>
            <a:endParaRPr lang="es-CL"/>
          </a:p>
        </c:txPr>
        <c:crossAx val="236935456"/>
        <c:crosses val="autoZero"/>
        <c:crossBetween val="between"/>
      </c:valAx>
    </c:plotArea>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alignWithMargins="0"/>
    <c:pageMargins b="1" l="0.75000000000000056" r="0.75000000000000056" t="1" header="0" footer="0"/>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n-US" sz="1600"/>
              <a:t>Porcentaje Mujeres Según Nivel de Titulación Formal </a:t>
            </a:r>
          </a:p>
          <a:p>
            <a:pPr>
              <a:defRPr sz="1600"/>
            </a:pPr>
            <a:r>
              <a:rPr lang="en-US" sz="1600"/>
              <a:t>(JCE 2014)</a:t>
            </a:r>
          </a:p>
        </c:rich>
      </c:tx>
      <c:overlay val="0"/>
    </c:title>
    <c:autoTitleDeleted val="0"/>
    <c:plotArea>
      <c:layout/>
      <c:barChart>
        <c:barDir val="bar"/>
        <c:grouping val="clustered"/>
        <c:varyColors val="0"/>
        <c:ser>
          <c:idx val="0"/>
          <c:order val="0"/>
          <c:tx>
            <c:strRef>
              <c:f>D.9!$B$33</c:f>
              <c:strCache>
                <c:ptCount val="1"/>
                <c:pt idx="0">
                  <c:v>Estado</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D.9!$C$32:$G$32</c:f>
              <c:strCache>
                <c:ptCount val="5"/>
                <c:pt idx="0">
                  <c:v>Doctorado</c:v>
                </c:pt>
                <c:pt idx="1">
                  <c:v>Magister</c:v>
                </c:pt>
                <c:pt idx="2">
                  <c:v>Profesional y/o Licenciado</c:v>
                </c:pt>
                <c:pt idx="3">
                  <c:v>Técnico Superior</c:v>
                </c:pt>
                <c:pt idx="4">
                  <c:v>Otros</c:v>
                </c:pt>
              </c:strCache>
            </c:strRef>
          </c:cat>
          <c:val>
            <c:numRef>
              <c:f>D.9!$C$33:$G$33</c:f>
              <c:numCache>
                <c:formatCode>0%</c:formatCode>
                <c:ptCount val="5"/>
                <c:pt idx="0">
                  <c:v>0.21667738501260259</c:v>
                </c:pt>
                <c:pt idx="1">
                  <c:v>0.42065655886115266</c:v>
                </c:pt>
                <c:pt idx="2">
                  <c:v>0.41624330287874334</c:v>
                </c:pt>
                <c:pt idx="3">
                  <c:v>0.43664625702010573</c:v>
                </c:pt>
                <c:pt idx="4">
                  <c:v>0.38767983951257823</c:v>
                </c:pt>
              </c:numCache>
            </c:numRef>
          </c:val>
        </c:ser>
        <c:ser>
          <c:idx val="1"/>
          <c:order val="1"/>
          <c:tx>
            <c:strRef>
              <c:f>D.9!$B$34</c:f>
              <c:strCache>
                <c:ptCount val="1"/>
                <c:pt idx="0">
                  <c:v>Ed. Superior</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D.9!$C$32:$G$32</c:f>
              <c:strCache>
                <c:ptCount val="5"/>
                <c:pt idx="0">
                  <c:v>Doctorado</c:v>
                </c:pt>
                <c:pt idx="1">
                  <c:v>Magister</c:v>
                </c:pt>
                <c:pt idx="2">
                  <c:v>Profesional y/o Licenciado</c:v>
                </c:pt>
                <c:pt idx="3">
                  <c:v>Técnico Superior</c:v>
                </c:pt>
                <c:pt idx="4">
                  <c:v>Otros</c:v>
                </c:pt>
              </c:strCache>
            </c:strRef>
          </c:cat>
          <c:val>
            <c:numRef>
              <c:f>D.9!$C$34:$G$34</c:f>
              <c:numCache>
                <c:formatCode>0%</c:formatCode>
                <c:ptCount val="5"/>
                <c:pt idx="0">
                  <c:v>0.28204366629534705</c:v>
                </c:pt>
                <c:pt idx="1">
                  <c:v>0.46098603842737385</c:v>
                </c:pt>
                <c:pt idx="2">
                  <c:v>0.45502393889078036</c:v>
                </c:pt>
                <c:pt idx="3">
                  <c:v>0.51620940828806505</c:v>
                </c:pt>
                <c:pt idx="4">
                  <c:v>0.49712758967557635</c:v>
                </c:pt>
              </c:numCache>
            </c:numRef>
          </c:val>
        </c:ser>
        <c:ser>
          <c:idx val="2"/>
          <c:order val="2"/>
          <c:tx>
            <c:strRef>
              <c:f>D.9!$B$35</c:f>
              <c:strCache>
                <c:ptCount val="1"/>
                <c:pt idx="0">
                  <c:v>IPSFL</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D.9!$C$32:$G$32</c:f>
              <c:strCache>
                <c:ptCount val="5"/>
                <c:pt idx="0">
                  <c:v>Doctorado</c:v>
                </c:pt>
                <c:pt idx="1">
                  <c:v>Magister</c:v>
                </c:pt>
                <c:pt idx="2">
                  <c:v>Profesional y/o Licenciado</c:v>
                </c:pt>
                <c:pt idx="3">
                  <c:v>Técnico Superior</c:v>
                </c:pt>
                <c:pt idx="4">
                  <c:v>Otros</c:v>
                </c:pt>
              </c:strCache>
            </c:strRef>
          </c:cat>
          <c:val>
            <c:numRef>
              <c:f>D.9!$C$35:$G$35</c:f>
              <c:numCache>
                <c:formatCode>0%</c:formatCode>
                <c:ptCount val="5"/>
                <c:pt idx="0">
                  <c:v>0.30827483134354178</c:v>
                </c:pt>
                <c:pt idx="1">
                  <c:v>0.44480319345368302</c:v>
                </c:pt>
                <c:pt idx="2">
                  <c:v>0.44459501068121021</c:v>
                </c:pt>
                <c:pt idx="3">
                  <c:v>0.40373882978154818</c:v>
                </c:pt>
                <c:pt idx="4">
                  <c:v>0.41047152298159634</c:v>
                </c:pt>
              </c:numCache>
            </c:numRef>
          </c:val>
        </c:ser>
        <c:ser>
          <c:idx val="3"/>
          <c:order val="3"/>
          <c:tx>
            <c:strRef>
              <c:f>D.9!$B$36</c:f>
              <c:strCache>
                <c:ptCount val="1"/>
                <c:pt idx="0">
                  <c:v>Empresas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D.9!$C$32:$G$32</c:f>
              <c:strCache>
                <c:ptCount val="5"/>
                <c:pt idx="0">
                  <c:v>Doctorado</c:v>
                </c:pt>
                <c:pt idx="1">
                  <c:v>Magister</c:v>
                </c:pt>
                <c:pt idx="2">
                  <c:v>Profesional y/o Licenciado</c:v>
                </c:pt>
                <c:pt idx="3">
                  <c:v>Técnico Superior</c:v>
                </c:pt>
                <c:pt idx="4">
                  <c:v>Otros</c:v>
                </c:pt>
              </c:strCache>
            </c:strRef>
          </c:cat>
          <c:val>
            <c:numRef>
              <c:f>D.9!$C$36:$G$36</c:f>
              <c:numCache>
                <c:formatCode>0%</c:formatCode>
                <c:ptCount val="5"/>
                <c:pt idx="0">
                  <c:v>0.36111760392751224</c:v>
                </c:pt>
                <c:pt idx="1">
                  <c:v>0.27295031475038284</c:v>
                </c:pt>
                <c:pt idx="2">
                  <c:v>0.2864964408026382</c:v>
                </c:pt>
                <c:pt idx="3">
                  <c:v>0.3562209356041004</c:v>
                </c:pt>
                <c:pt idx="4">
                  <c:v>0.42026456141512647</c:v>
                </c:pt>
              </c:numCache>
            </c:numRef>
          </c:val>
        </c:ser>
        <c:dLbls>
          <c:dLblPos val="outEnd"/>
          <c:showLegendKey val="0"/>
          <c:showVal val="1"/>
          <c:showCatName val="0"/>
          <c:showSerName val="0"/>
          <c:showPercent val="0"/>
          <c:showBubbleSize val="0"/>
        </c:dLbls>
        <c:gapWidth val="150"/>
        <c:axId val="243058432"/>
        <c:axId val="243058992"/>
      </c:barChart>
      <c:catAx>
        <c:axId val="243058432"/>
        <c:scaling>
          <c:orientation val="minMax"/>
        </c:scaling>
        <c:delete val="0"/>
        <c:axPos val="l"/>
        <c:numFmt formatCode="General" sourceLinked="0"/>
        <c:majorTickMark val="out"/>
        <c:minorTickMark val="none"/>
        <c:tickLblPos val="nextTo"/>
        <c:crossAx val="243058992"/>
        <c:crosses val="autoZero"/>
        <c:auto val="1"/>
        <c:lblAlgn val="ctr"/>
        <c:lblOffset val="100"/>
        <c:noMultiLvlLbl val="0"/>
      </c:catAx>
      <c:valAx>
        <c:axId val="243058992"/>
        <c:scaling>
          <c:orientation val="minMax"/>
        </c:scaling>
        <c:delete val="0"/>
        <c:axPos val="b"/>
        <c:majorGridlines>
          <c:spPr>
            <a:ln>
              <a:solidFill>
                <a:schemeClr val="bg1"/>
              </a:solidFill>
            </a:ln>
          </c:spPr>
        </c:majorGridlines>
        <c:numFmt formatCode="0%" sourceLinked="1"/>
        <c:majorTickMark val="out"/>
        <c:minorTickMark val="none"/>
        <c:tickLblPos val="nextTo"/>
        <c:crossAx val="243058432"/>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Porcentaje mujeres investigadoras según nivel de titulación formal (Promedio mensual anual, 2014p)</a:t>
            </a:r>
          </a:p>
        </c:rich>
      </c:tx>
      <c:overlay val="0"/>
    </c:title>
    <c:autoTitleDeleted val="0"/>
    <c:plotArea>
      <c:layout/>
      <c:barChart>
        <c:barDir val="bar"/>
        <c:grouping val="clustered"/>
        <c:varyColors val="0"/>
        <c:ser>
          <c:idx val="0"/>
          <c:order val="0"/>
          <c:tx>
            <c:strRef>
              <c:f>D.10!$B$25</c:f>
              <c:strCache>
                <c:ptCount val="1"/>
                <c:pt idx="0">
                  <c:v>Estado</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D.10!$C$24:$G$24</c:f>
              <c:strCache>
                <c:ptCount val="5"/>
                <c:pt idx="0">
                  <c:v>Doctorado</c:v>
                </c:pt>
                <c:pt idx="1">
                  <c:v>Magister</c:v>
                </c:pt>
                <c:pt idx="2">
                  <c:v>Profesional y/o Licenciado</c:v>
                </c:pt>
                <c:pt idx="3">
                  <c:v>Técnico Superior</c:v>
                </c:pt>
                <c:pt idx="4">
                  <c:v>Otros</c:v>
                </c:pt>
              </c:strCache>
            </c:strRef>
          </c:cat>
          <c:val>
            <c:numRef>
              <c:f>D.10!$C$25:$G$25</c:f>
              <c:numCache>
                <c:formatCode>0%</c:formatCode>
                <c:ptCount val="5"/>
                <c:pt idx="0">
                  <c:v>0.21978766683016698</c:v>
                </c:pt>
                <c:pt idx="1">
                  <c:v>0.45483707887578856</c:v>
                </c:pt>
                <c:pt idx="2">
                  <c:v>0.36310110585817651</c:v>
                </c:pt>
                <c:pt idx="3">
                  <c:v>0.58522167718313967</c:v>
                </c:pt>
                <c:pt idx="4">
                  <c:v>0.30888029707368636</c:v>
                </c:pt>
              </c:numCache>
            </c:numRef>
          </c:val>
        </c:ser>
        <c:ser>
          <c:idx val="1"/>
          <c:order val="1"/>
          <c:tx>
            <c:strRef>
              <c:f>D.10!$B$26</c:f>
              <c:strCache>
                <c:ptCount val="1"/>
                <c:pt idx="0">
                  <c:v>Ed. Superior</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D.10!$C$24:$G$24</c:f>
              <c:strCache>
                <c:ptCount val="5"/>
                <c:pt idx="0">
                  <c:v>Doctorado</c:v>
                </c:pt>
                <c:pt idx="1">
                  <c:v>Magister</c:v>
                </c:pt>
                <c:pt idx="2">
                  <c:v>Profesional y/o Licenciado</c:v>
                </c:pt>
                <c:pt idx="3">
                  <c:v>Técnico Superior</c:v>
                </c:pt>
                <c:pt idx="4">
                  <c:v>Otros</c:v>
                </c:pt>
              </c:strCache>
            </c:strRef>
          </c:cat>
          <c:val>
            <c:numRef>
              <c:f>D.10!$C$26:$G$26</c:f>
              <c:numCache>
                <c:formatCode>0%</c:formatCode>
                <c:ptCount val="5"/>
                <c:pt idx="0">
                  <c:v>0.28190689743603115</c:v>
                </c:pt>
                <c:pt idx="1">
                  <c:v>0.45981462733001871</c:v>
                </c:pt>
                <c:pt idx="2">
                  <c:v>0.36584091078516534</c:v>
                </c:pt>
                <c:pt idx="3">
                  <c:v>0.54008436254873171</c:v>
                </c:pt>
                <c:pt idx="4">
                  <c:v>0.52873044130692837</c:v>
                </c:pt>
              </c:numCache>
            </c:numRef>
          </c:val>
        </c:ser>
        <c:ser>
          <c:idx val="2"/>
          <c:order val="2"/>
          <c:tx>
            <c:strRef>
              <c:f>D.10!$B$27</c:f>
              <c:strCache>
                <c:ptCount val="1"/>
                <c:pt idx="0">
                  <c:v>IPSFL</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D.10!$C$24:$G$24</c:f>
              <c:strCache>
                <c:ptCount val="5"/>
                <c:pt idx="0">
                  <c:v>Doctorado</c:v>
                </c:pt>
                <c:pt idx="1">
                  <c:v>Magister</c:v>
                </c:pt>
                <c:pt idx="2">
                  <c:v>Profesional y/o Licenciado</c:v>
                </c:pt>
                <c:pt idx="3">
                  <c:v>Técnico Superior</c:v>
                </c:pt>
                <c:pt idx="4">
                  <c:v>Otros</c:v>
                </c:pt>
              </c:strCache>
            </c:strRef>
          </c:cat>
          <c:val>
            <c:numRef>
              <c:f>D.10!$C$27:$G$27</c:f>
              <c:numCache>
                <c:formatCode>0%</c:formatCode>
                <c:ptCount val="5"/>
                <c:pt idx="0">
                  <c:v>0.28687774680110367</c:v>
                </c:pt>
                <c:pt idx="1">
                  <c:v>0.37419114356333866</c:v>
                </c:pt>
                <c:pt idx="2">
                  <c:v>0.37985883357703576</c:v>
                </c:pt>
                <c:pt idx="3">
                  <c:v>0.32080465559348498</c:v>
                </c:pt>
                <c:pt idx="4">
                  <c:v>0.19999999999999998</c:v>
                </c:pt>
              </c:numCache>
            </c:numRef>
          </c:val>
        </c:ser>
        <c:ser>
          <c:idx val="3"/>
          <c:order val="3"/>
          <c:tx>
            <c:strRef>
              <c:f>D.10!$B$28</c:f>
              <c:strCache>
                <c:ptCount val="1"/>
                <c:pt idx="0">
                  <c:v>Empresas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D.10!$C$24:$G$24</c:f>
              <c:strCache>
                <c:ptCount val="5"/>
                <c:pt idx="0">
                  <c:v>Doctorado</c:v>
                </c:pt>
                <c:pt idx="1">
                  <c:v>Magister</c:v>
                </c:pt>
                <c:pt idx="2">
                  <c:v>Profesional y/o Licenciado</c:v>
                </c:pt>
                <c:pt idx="3">
                  <c:v>Técnico Superior</c:v>
                </c:pt>
                <c:pt idx="4">
                  <c:v>Otros</c:v>
                </c:pt>
              </c:strCache>
            </c:strRef>
          </c:cat>
          <c:val>
            <c:numRef>
              <c:f>D.10!$C$28:$G$28</c:f>
              <c:numCache>
                <c:formatCode>0%</c:formatCode>
                <c:ptCount val="5"/>
                <c:pt idx="0">
                  <c:v>0.3274890313200734</c:v>
                </c:pt>
                <c:pt idx="1">
                  <c:v>0.27085467611065173</c:v>
                </c:pt>
                <c:pt idx="2">
                  <c:v>0.25270791486563077</c:v>
                </c:pt>
                <c:pt idx="3">
                  <c:v>0.28763269794414875</c:v>
                </c:pt>
                <c:pt idx="4">
                  <c:v>0.19246116664205115</c:v>
                </c:pt>
              </c:numCache>
            </c:numRef>
          </c:val>
        </c:ser>
        <c:dLbls>
          <c:dLblPos val="outEnd"/>
          <c:showLegendKey val="0"/>
          <c:showVal val="1"/>
          <c:showCatName val="0"/>
          <c:showSerName val="0"/>
          <c:showPercent val="0"/>
          <c:showBubbleSize val="0"/>
        </c:dLbls>
        <c:gapWidth val="150"/>
        <c:axId val="243063472"/>
        <c:axId val="243064032"/>
      </c:barChart>
      <c:catAx>
        <c:axId val="243063472"/>
        <c:scaling>
          <c:orientation val="minMax"/>
        </c:scaling>
        <c:delete val="0"/>
        <c:axPos val="l"/>
        <c:numFmt formatCode="General" sourceLinked="0"/>
        <c:majorTickMark val="out"/>
        <c:minorTickMark val="none"/>
        <c:tickLblPos val="nextTo"/>
        <c:crossAx val="243064032"/>
        <c:crosses val="autoZero"/>
        <c:auto val="1"/>
        <c:lblAlgn val="ctr"/>
        <c:lblOffset val="100"/>
        <c:noMultiLvlLbl val="0"/>
      </c:catAx>
      <c:valAx>
        <c:axId val="243064032"/>
        <c:scaling>
          <c:orientation val="minMax"/>
        </c:scaling>
        <c:delete val="0"/>
        <c:axPos val="b"/>
        <c:majorGridlines>
          <c:spPr>
            <a:ln>
              <a:solidFill>
                <a:schemeClr val="bg1"/>
              </a:solidFill>
            </a:ln>
          </c:spPr>
        </c:majorGridlines>
        <c:numFmt formatCode="0%" sourceLinked="1"/>
        <c:majorTickMark val="out"/>
        <c:minorTickMark val="none"/>
        <c:tickLblPos val="nextTo"/>
        <c:crossAx val="243063472"/>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Porcentaje Mujeres Investigadoras Según Nivel de Titulación Formal (JCE, 2014p)</a:t>
            </a:r>
          </a:p>
        </c:rich>
      </c:tx>
      <c:overlay val="0"/>
    </c:title>
    <c:autoTitleDeleted val="0"/>
    <c:plotArea>
      <c:layout/>
      <c:barChart>
        <c:barDir val="bar"/>
        <c:grouping val="clustered"/>
        <c:varyColors val="0"/>
        <c:ser>
          <c:idx val="0"/>
          <c:order val="0"/>
          <c:tx>
            <c:strRef>
              <c:f>D.10!$B$33</c:f>
              <c:strCache>
                <c:ptCount val="1"/>
                <c:pt idx="0">
                  <c:v>Estado</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D.10!$C$32:$G$32</c:f>
              <c:strCache>
                <c:ptCount val="5"/>
                <c:pt idx="0">
                  <c:v>Doctorado</c:v>
                </c:pt>
                <c:pt idx="1">
                  <c:v>Magister</c:v>
                </c:pt>
                <c:pt idx="2">
                  <c:v>Profesional y/o Licenciado</c:v>
                </c:pt>
                <c:pt idx="3">
                  <c:v>Técnico Superior</c:v>
                </c:pt>
                <c:pt idx="4">
                  <c:v>Otros</c:v>
                </c:pt>
              </c:strCache>
            </c:strRef>
          </c:cat>
          <c:val>
            <c:numRef>
              <c:f>D.10!$C$33:$G$33</c:f>
              <c:numCache>
                <c:formatCode>0%</c:formatCode>
                <c:ptCount val="5"/>
                <c:pt idx="0">
                  <c:v>0.2061741746467079</c:v>
                </c:pt>
                <c:pt idx="1">
                  <c:v>0.42401028128143609</c:v>
                </c:pt>
                <c:pt idx="2">
                  <c:v>0.36884384096574996</c:v>
                </c:pt>
                <c:pt idx="3">
                  <c:v>0.63205645479867167</c:v>
                </c:pt>
                <c:pt idx="4">
                  <c:v>0.30485435680648432</c:v>
                </c:pt>
              </c:numCache>
            </c:numRef>
          </c:val>
        </c:ser>
        <c:ser>
          <c:idx val="1"/>
          <c:order val="1"/>
          <c:tx>
            <c:strRef>
              <c:f>D.10!$B$34</c:f>
              <c:strCache>
                <c:ptCount val="1"/>
                <c:pt idx="0">
                  <c:v>Ed. Superior</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D.10!$C$32:$G$32</c:f>
              <c:strCache>
                <c:ptCount val="5"/>
                <c:pt idx="0">
                  <c:v>Doctorado</c:v>
                </c:pt>
                <c:pt idx="1">
                  <c:v>Magister</c:v>
                </c:pt>
                <c:pt idx="2">
                  <c:v>Profesional y/o Licenciado</c:v>
                </c:pt>
                <c:pt idx="3">
                  <c:v>Técnico Superior</c:v>
                </c:pt>
                <c:pt idx="4">
                  <c:v>Otros</c:v>
                </c:pt>
              </c:strCache>
            </c:strRef>
          </c:cat>
          <c:val>
            <c:numRef>
              <c:f>D.10!$C$34:$G$34</c:f>
              <c:numCache>
                <c:formatCode>0%</c:formatCode>
                <c:ptCount val="5"/>
                <c:pt idx="0">
                  <c:v>0.27927639946979804</c:v>
                </c:pt>
                <c:pt idx="1">
                  <c:v>0.45610485421687808</c:v>
                </c:pt>
                <c:pt idx="2">
                  <c:v>0.37802129571697951</c:v>
                </c:pt>
                <c:pt idx="3">
                  <c:v>0.55261085085564188</c:v>
                </c:pt>
                <c:pt idx="4">
                  <c:v>0.48202892071614845</c:v>
                </c:pt>
              </c:numCache>
            </c:numRef>
          </c:val>
        </c:ser>
        <c:ser>
          <c:idx val="2"/>
          <c:order val="2"/>
          <c:tx>
            <c:strRef>
              <c:f>D.10!$B$35</c:f>
              <c:strCache>
                <c:ptCount val="1"/>
                <c:pt idx="0">
                  <c:v>IPSFL</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D.10!$C$32:$G$32</c:f>
              <c:strCache>
                <c:ptCount val="5"/>
                <c:pt idx="0">
                  <c:v>Doctorado</c:v>
                </c:pt>
                <c:pt idx="1">
                  <c:v>Magister</c:v>
                </c:pt>
                <c:pt idx="2">
                  <c:v>Profesional y/o Licenciado</c:v>
                </c:pt>
                <c:pt idx="3">
                  <c:v>Técnico Superior</c:v>
                </c:pt>
                <c:pt idx="4">
                  <c:v>Otros</c:v>
                </c:pt>
              </c:strCache>
            </c:strRef>
          </c:cat>
          <c:val>
            <c:numRef>
              <c:f>D.10!$C$35:$G$35</c:f>
              <c:numCache>
                <c:formatCode>0%</c:formatCode>
                <c:ptCount val="5"/>
                <c:pt idx="0">
                  <c:v>0.29905268341228702</c:v>
                </c:pt>
                <c:pt idx="1">
                  <c:v>0.39786838953878184</c:v>
                </c:pt>
                <c:pt idx="2">
                  <c:v>0.39663866964092981</c:v>
                </c:pt>
                <c:pt idx="3">
                  <c:v>0.31256195582352669</c:v>
                </c:pt>
                <c:pt idx="4">
                  <c:v>0.19999999999999998</c:v>
                </c:pt>
              </c:numCache>
            </c:numRef>
          </c:val>
        </c:ser>
        <c:ser>
          <c:idx val="3"/>
          <c:order val="3"/>
          <c:tx>
            <c:strRef>
              <c:f>D.10!$B$36</c:f>
              <c:strCache>
                <c:ptCount val="1"/>
                <c:pt idx="0">
                  <c:v>Empresas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D.10!$C$32:$G$32</c:f>
              <c:strCache>
                <c:ptCount val="5"/>
                <c:pt idx="0">
                  <c:v>Doctorado</c:v>
                </c:pt>
                <c:pt idx="1">
                  <c:v>Magister</c:v>
                </c:pt>
                <c:pt idx="2">
                  <c:v>Profesional y/o Licenciado</c:v>
                </c:pt>
                <c:pt idx="3">
                  <c:v>Técnico Superior</c:v>
                </c:pt>
                <c:pt idx="4">
                  <c:v>Otros</c:v>
                </c:pt>
              </c:strCache>
            </c:strRef>
          </c:cat>
          <c:val>
            <c:numRef>
              <c:f>D.10!$C$36:$G$36</c:f>
              <c:numCache>
                <c:formatCode>0%</c:formatCode>
                <c:ptCount val="5"/>
                <c:pt idx="0">
                  <c:v>0.35567503522223642</c:v>
                </c:pt>
                <c:pt idx="1">
                  <c:v>0.28601264913491081</c:v>
                </c:pt>
                <c:pt idx="2">
                  <c:v>0.26337120765187855</c:v>
                </c:pt>
                <c:pt idx="3">
                  <c:v>0.29209009652710805</c:v>
                </c:pt>
                <c:pt idx="4">
                  <c:v>0.19359754033447438</c:v>
                </c:pt>
              </c:numCache>
            </c:numRef>
          </c:val>
        </c:ser>
        <c:dLbls>
          <c:dLblPos val="outEnd"/>
          <c:showLegendKey val="0"/>
          <c:showVal val="1"/>
          <c:showCatName val="0"/>
          <c:showSerName val="0"/>
          <c:showPercent val="0"/>
          <c:showBubbleSize val="0"/>
        </c:dLbls>
        <c:gapWidth val="150"/>
        <c:axId val="243392368"/>
        <c:axId val="243392928"/>
      </c:barChart>
      <c:catAx>
        <c:axId val="243392368"/>
        <c:scaling>
          <c:orientation val="minMax"/>
        </c:scaling>
        <c:delete val="0"/>
        <c:axPos val="l"/>
        <c:numFmt formatCode="General" sourceLinked="0"/>
        <c:majorTickMark val="out"/>
        <c:minorTickMark val="none"/>
        <c:tickLblPos val="nextTo"/>
        <c:crossAx val="243392928"/>
        <c:crosses val="autoZero"/>
        <c:auto val="1"/>
        <c:lblAlgn val="ctr"/>
        <c:lblOffset val="100"/>
        <c:noMultiLvlLbl val="0"/>
      </c:catAx>
      <c:valAx>
        <c:axId val="243392928"/>
        <c:scaling>
          <c:orientation val="minMax"/>
        </c:scaling>
        <c:delete val="0"/>
        <c:axPos val="b"/>
        <c:majorGridlines>
          <c:spPr>
            <a:ln>
              <a:solidFill>
                <a:schemeClr val="bg1"/>
              </a:solidFill>
            </a:ln>
          </c:spPr>
        </c:majorGridlines>
        <c:numFmt formatCode="0%" sourceLinked="1"/>
        <c:majorTickMark val="out"/>
        <c:minorTickMark val="none"/>
        <c:tickLblPos val="nextTo"/>
        <c:crossAx val="243392368"/>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a:pPr>
            <a:r>
              <a:rPr lang="es-CL"/>
              <a:t>Porcentaje de Mujeres Investigadores Según Actividad Económica CIIU (Promedio Mensual Anual, 2014p)</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D.11!$C$9:$C$27</c:f>
              <c:strCache>
                <c:ptCount val="19"/>
                <c:pt idx="0">
                  <c:v>Agricultura, ganadería, caza, silvicultura y pesca</c:v>
                </c:pt>
                <c:pt idx="1">
                  <c:v>Explotación de minas y canteras</c:v>
                </c:pt>
                <c:pt idx="2">
                  <c:v>Industrias manufactureras (*)</c:v>
                </c:pt>
                <c:pt idx="3">
                  <c:v>Suministro de electricidad, gas, vapor y aire acondicionado</c:v>
                </c:pt>
                <c:pt idx="4">
                  <c:v>Suministro de agua</c:v>
                </c:pt>
                <c:pt idx="5">
                  <c:v>Construcción</c:v>
                </c:pt>
                <c:pt idx="6">
                  <c:v>Comercio</c:v>
                </c:pt>
                <c:pt idx="7">
                  <c:v>Transporte y almacenamiento</c:v>
                </c:pt>
                <c:pt idx="8">
                  <c:v>Alojamiento y de servicio de comidas</c:v>
                </c:pt>
                <c:pt idx="9">
                  <c:v>Información y comunicaciones (**)</c:v>
                </c:pt>
                <c:pt idx="10">
                  <c:v>Actividades financieras y de seguros</c:v>
                </c:pt>
                <c:pt idx="11">
                  <c:v>Actividades inmobiliarias</c:v>
                </c:pt>
                <c:pt idx="12">
                  <c:v>Actividades profesionales, científicas y técnicas (***)</c:v>
                </c:pt>
                <c:pt idx="13">
                  <c:v>Actividades de servicios administrativos y de apoyo</c:v>
                </c:pt>
                <c:pt idx="14">
                  <c:v>Administración pública y defensa</c:v>
                </c:pt>
                <c:pt idx="15">
                  <c:v>Enseñanza</c:v>
                </c:pt>
                <c:pt idx="16">
                  <c:v>Actividades de atención de la salud </c:v>
                </c:pt>
                <c:pt idx="17">
                  <c:v>Actividades artísticas, de entretenimiento y recreativas</c:v>
                </c:pt>
                <c:pt idx="18">
                  <c:v>Otras actividades de servicios</c:v>
                </c:pt>
              </c:strCache>
            </c:strRef>
          </c:cat>
          <c:val>
            <c:numRef>
              <c:f>D.11!$G$9:$G$27</c:f>
              <c:numCache>
                <c:formatCode>0%</c:formatCode>
                <c:ptCount val="19"/>
                <c:pt idx="0">
                  <c:v>0.26347133427835068</c:v>
                </c:pt>
                <c:pt idx="1">
                  <c:v>9.3348348437727463E-2</c:v>
                </c:pt>
                <c:pt idx="2">
                  <c:v>0.28105307421267367</c:v>
                </c:pt>
                <c:pt idx="3">
                  <c:v>0.36442513106940289</c:v>
                </c:pt>
                <c:pt idx="4">
                  <c:v>0.10676155352642093</c:v>
                </c:pt>
                <c:pt idx="5">
                  <c:v>8.174386475510273E-2</c:v>
                </c:pt>
                <c:pt idx="6">
                  <c:v>0.37293021449659852</c:v>
                </c:pt>
                <c:pt idx="7">
                  <c:v>0.10734461016949153</c:v>
                </c:pt>
                <c:pt idx="8">
                  <c:v>0</c:v>
                </c:pt>
                <c:pt idx="9">
                  <c:v>0.11231400881735483</c:v>
                </c:pt>
                <c:pt idx="10">
                  <c:v>0.21868705195907698</c:v>
                </c:pt>
                <c:pt idx="11">
                  <c:v>0</c:v>
                </c:pt>
                <c:pt idx="12">
                  <c:v>0.34305040023741051</c:v>
                </c:pt>
                <c:pt idx="13">
                  <c:v>0.42290750389101339</c:v>
                </c:pt>
                <c:pt idx="14">
                  <c:v>0</c:v>
                </c:pt>
                <c:pt idx="15">
                  <c:v>0.46774193548387094</c:v>
                </c:pt>
                <c:pt idx="16">
                  <c:v>0.28941687755226869</c:v>
                </c:pt>
                <c:pt idx="17">
                  <c:v>0</c:v>
                </c:pt>
                <c:pt idx="18">
                  <c:v>0.46728971962616822</c:v>
                </c:pt>
              </c:numCache>
            </c:numRef>
          </c:val>
        </c:ser>
        <c:dLbls>
          <c:dLblPos val="outEnd"/>
          <c:showLegendKey val="0"/>
          <c:showVal val="1"/>
          <c:showCatName val="0"/>
          <c:showSerName val="0"/>
          <c:showPercent val="0"/>
          <c:showBubbleSize val="0"/>
        </c:dLbls>
        <c:gapWidth val="150"/>
        <c:axId val="243395728"/>
        <c:axId val="243396288"/>
      </c:barChart>
      <c:catAx>
        <c:axId val="243395728"/>
        <c:scaling>
          <c:orientation val="minMax"/>
        </c:scaling>
        <c:delete val="0"/>
        <c:axPos val="l"/>
        <c:numFmt formatCode="General" sourceLinked="0"/>
        <c:majorTickMark val="out"/>
        <c:minorTickMark val="none"/>
        <c:tickLblPos val="nextTo"/>
        <c:crossAx val="243396288"/>
        <c:crosses val="autoZero"/>
        <c:auto val="1"/>
        <c:lblAlgn val="ctr"/>
        <c:lblOffset val="100"/>
        <c:noMultiLvlLbl val="0"/>
      </c:catAx>
      <c:valAx>
        <c:axId val="243396288"/>
        <c:scaling>
          <c:orientation val="minMax"/>
        </c:scaling>
        <c:delete val="0"/>
        <c:axPos val="b"/>
        <c:majorGridlines>
          <c:spPr>
            <a:ln>
              <a:solidFill>
                <a:schemeClr val="bg1"/>
              </a:solidFill>
            </a:ln>
          </c:spPr>
        </c:majorGridlines>
        <c:numFmt formatCode="0%" sourceLinked="1"/>
        <c:majorTickMark val="out"/>
        <c:minorTickMark val="none"/>
        <c:tickLblPos val="nextTo"/>
        <c:crossAx val="243395728"/>
        <c:crosses val="autoZero"/>
        <c:crossBetween val="between"/>
      </c:valAx>
      <c:spPr>
        <a:solidFill>
          <a:schemeClr val="bg1">
            <a:lumMod val="75000"/>
          </a:schemeClr>
        </a:solidFill>
      </c:spPr>
    </c:plotArea>
    <c:plotVisOnly val="1"/>
    <c:dispBlanksAs val="gap"/>
    <c:showDLblsOverMax val="0"/>
  </c:chart>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a:pPr>
            <a:r>
              <a:rPr lang="es-CL"/>
              <a:t>Porcentaje de Mujeres Investigadores Según Actividad Económica CIIU (JCE, 2014p)</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D.11!$C$38:$C$56</c:f>
              <c:strCache>
                <c:ptCount val="19"/>
                <c:pt idx="0">
                  <c:v>Agricultura, ganadería, caza, silvicultura y pesca</c:v>
                </c:pt>
                <c:pt idx="1">
                  <c:v>Explotación de minas y canteras</c:v>
                </c:pt>
                <c:pt idx="2">
                  <c:v>Industrias manufactureras (*)</c:v>
                </c:pt>
                <c:pt idx="3">
                  <c:v>Suministro de electricidad, gas, vapor y aire acondicionado</c:v>
                </c:pt>
                <c:pt idx="4">
                  <c:v>Suministro de agua</c:v>
                </c:pt>
                <c:pt idx="5">
                  <c:v>Construcción</c:v>
                </c:pt>
                <c:pt idx="6">
                  <c:v>Comercio</c:v>
                </c:pt>
                <c:pt idx="7">
                  <c:v>Transporte y almacenamiento</c:v>
                </c:pt>
                <c:pt idx="8">
                  <c:v>Alojamiento y de servicio de comidas</c:v>
                </c:pt>
                <c:pt idx="9">
                  <c:v>Información y comunicaciones (**)</c:v>
                </c:pt>
                <c:pt idx="10">
                  <c:v>Actividades financieras y de seguros</c:v>
                </c:pt>
                <c:pt idx="11">
                  <c:v>Actividades inmobiliarias</c:v>
                </c:pt>
                <c:pt idx="12">
                  <c:v>Actividades profesionales, científicas y técnicas (***)</c:v>
                </c:pt>
                <c:pt idx="13">
                  <c:v>Actividades de servicios administrativos y de apoyo</c:v>
                </c:pt>
                <c:pt idx="14">
                  <c:v>Administración pública y defensa</c:v>
                </c:pt>
                <c:pt idx="15">
                  <c:v>Enseñanza</c:v>
                </c:pt>
                <c:pt idx="16">
                  <c:v>Actividades de atención de la salud </c:v>
                </c:pt>
                <c:pt idx="17">
                  <c:v>Actividades artísticas, de entretenimiento y recreativas</c:v>
                </c:pt>
                <c:pt idx="18">
                  <c:v>Otras actividades de servicios</c:v>
                </c:pt>
              </c:strCache>
            </c:strRef>
          </c:cat>
          <c:val>
            <c:numRef>
              <c:f>D.11!$G$38:$G$56</c:f>
              <c:numCache>
                <c:formatCode>0%</c:formatCode>
                <c:ptCount val="19"/>
                <c:pt idx="0">
                  <c:v>0.26674484381706876</c:v>
                </c:pt>
                <c:pt idx="1">
                  <c:v>0.11299983178340059</c:v>
                </c:pt>
                <c:pt idx="2">
                  <c:v>0.28794045410712815</c:v>
                </c:pt>
                <c:pt idx="3">
                  <c:v>0.404231569566875</c:v>
                </c:pt>
                <c:pt idx="4">
                  <c:v>6.864728360133858E-2</c:v>
                </c:pt>
                <c:pt idx="5">
                  <c:v>0.20348559519819218</c:v>
                </c:pt>
                <c:pt idx="6">
                  <c:v>0.44681790197381621</c:v>
                </c:pt>
                <c:pt idx="7">
                  <c:v>8.0939636242527577E-2</c:v>
                </c:pt>
                <c:pt idx="8">
                  <c:v>0</c:v>
                </c:pt>
                <c:pt idx="9">
                  <c:v>0.10049849667052153</c:v>
                </c:pt>
                <c:pt idx="10">
                  <c:v>0.15044480627852108</c:v>
                </c:pt>
                <c:pt idx="11">
                  <c:v>0</c:v>
                </c:pt>
                <c:pt idx="12">
                  <c:v>0.37910129053453662</c:v>
                </c:pt>
                <c:pt idx="13">
                  <c:v>0.58343948625355935</c:v>
                </c:pt>
                <c:pt idx="14">
                  <c:v>0</c:v>
                </c:pt>
                <c:pt idx="15">
                  <c:v>0.37453777073428424</c:v>
                </c:pt>
                <c:pt idx="16">
                  <c:v>0.35441902652361273</c:v>
                </c:pt>
                <c:pt idx="17">
                  <c:v>0</c:v>
                </c:pt>
                <c:pt idx="18">
                  <c:v>0.48008171603677219</c:v>
                </c:pt>
              </c:numCache>
            </c:numRef>
          </c:val>
        </c:ser>
        <c:dLbls>
          <c:dLblPos val="outEnd"/>
          <c:showLegendKey val="0"/>
          <c:showVal val="1"/>
          <c:showCatName val="0"/>
          <c:showSerName val="0"/>
          <c:showPercent val="0"/>
          <c:showBubbleSize val="0"/>
        </c:dLbls>
        <c:gapWidth val="150"/>
        <c:axId val="243398528"/>
        <c:axId val="243399088"/>
      </c:barChart>
      <c:catAx>
        <c:axId val="243398528"/>
        <c:scaling>
          <c:orientation val="minMax"/>
        </c:scaling>
        <c:delete val="0"/>
        <c:axPos val="l"/>
        <c:numFmt formatCode="General" sourceLinked="0"/>
        <c:majorTickMark val="out"/>
        <c:minorTickMark val="none"/>
        <c:tickLblPos val="nextTo"/>
        <c:crossAx val="243399088"/>
        <c:crosses val="autoZero"/>
        <c:auto val="1"/>
        <c:lblAlgn val="ctr"/>
        <c:lblOffset val="100"/>
        <c:noMultiLvlLbl val="0"/>
      </c:catAx>
      <c:valAx>
        <c:axId val="243399088"/>
        <c:scaling>
          <c:orientation val="minMax"/>
        </c:scaling>
        <c:delete val="0"/>
        <c:axPos val="b"/>
        <c:majorGridlines>
          <c:spPr>
            <a:ln>
              <a:solidFill>
                <a:schemeClr val="bg1"/>
              </a:solidFill>
            </a:ln>
          </c:spPr>
        </c:majorGridlines>
        <c:numFmt formatCode="0%" sourceLinked="1"/>
        <c:majorTickMark val="out"/>
        <c:minorTickMark val="none"/>
        <c:tickLblPos val="nextTo"/>
        <c:crossAx val="243398528"/>
        <c:crosses val="autoZero"/>
        <c:crossBetween val="between"/>
      </c:valAx>
      <c:spPr>
        <a:solidFill>
          <a:schemeClr val="bg1">
            <a:lumMod val="75000"/>
          </a:schemeClr>
        </a:solidFill>
      </c:spPr>
    </c:plotArea>
    <c:plotVisOnly val="1"/>
    <c:dispBlanksAs val="gap"/>
    <c:showDLblsOverMax val="0"/>
  </c:chart>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a:pPr>
            <a:r>
              <a:rPr lang="es-CL" sz="1400"/>
              <a:t>Distribución</a:t>
            </a:r>
            <a:r>
              <a:rPr lang="es-CL" sz="1400" baseline="0"/>
              <a:t> Porcentual de Empresas Exportadoras (2009-2014)</a:t>
            </a:r>
            <a:endParaRPr lang="es-CL" sz="1400"/>
          </a:p>
        </c:rich>
      </c:tx>
      <c:layout>
        <c:manualLayout>
          <c:xMode val="edge"/>
          <c:yMode val="edge"/>
          <c:x val="0.16013450089096962"/>
          <c:y val="1.9536019536019536E-2"/>
        </c:manualLayout>
      </c:layout>
      <c:overlay val="0"/>
    </c:title>
    <c:autoTitleDeleted val="0"/>
    <c:plotArea>
      <c:layout/>
      <c:barChart>
        <c:barDir val="bar"/>
        <c:grouping val="percentStacked"/>
        <c:varyColors val="0"/>
        <c:ser>
          <c:idx val="0"/>
          <c:order val="0"/>
          <c:tx>
            <c:v>No Exporta</c:v>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(B.2!$K$8,B.2!$M$8,B.2!$O$8,B.2!$Q$8,B.2!$S$8,B.2!$U$8)</c:f>
              <c:strCache>
                <c:ptCount val="6"/>
                <c:pt idx="0">
                  <c:v>2009</c:v>
                </c:pt>
                <c:pt idx="1">
                  <c:v>2010</c:v>
                </c:pt>
                <c:pt idx="2">
                  <c:v>2011</c:v>
                </c:pt>
                <c:pt idx="3">
                  <c:v>2012</c:v>
                </c:pt>
                <c:pt idx="4">
                  <c:v>2013</c:v>
                </c:pt>
                <c:pt idx="5">
                  <c:v>2014p</c:v>
                </c:pt>
              </c:strCache>
            </c:strRef>
          </c:cat>
          <c:val>
            <c:numRef>
              <c:f>(B.2!$L$10,B.2!$N$10,B.2!$P$10,B.2!$R$10,B.2!$T$10,B.2!$V$10)</c:f>
              <c:numCache>
                <c:formatCode>0%</c:formatCode>
                <c:ptCount val="6"/>
                <c:pt idx="0">
                  <c:v>0.6345733041575492</c:v>
                </c:pt>
                <c:pt idx="1">
                  <c:v>0.62363238512035013</c:v>
                </c:pt>
                <c:pt idx="2">
                  <c:v>0.67394468704512378</c:v>
                </c:pt>
                <c:pt idx="3">
                  <c:v>0.66035904900533726</c:v>
                </c:pt>
                <c:pt idx="4">
                  <c:v>0.65451311694086256</c:v>
                </c:pt>
                <c:pt idx="5">
                  <c:v>0.67229879946642956</c:v>
                </c:pt>
              </c:numCache>
            </c:numRef>
          </c:val>
        </c:ser>
        <c:ser>
          <c:idx val="1"/>
          <c:order val="1"/>
          <c:tx>
            <c:v>Exporta</c:v>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(B.2!$K$8,B.2!$M$8,B.2!$O$8,B.2!$Q$8,B.2!$S$8,B.2!$U$8)</c:f>
              <c:strCache>
                <c:ptCount val="6"/>
                <c:pt idx="0">
                  <c:v>2009</c:v>
                </c:pt>
                <c:pt idx="1">
                  <c:v>2010</c:v>
                </c:pt>
                <c:pt idx="2">
                  <c:v>2011</c:v>
                </c:pt>
                <c:pt idx="3">
                  <c:v>2012</c:v>
                </c:pt>
                <c:pt idx="4">
                  <c:v>2013</c:v>
                </c:pt>
                <c:pt idx="5">
                  <c:v>2014p</c:v>
                </c:pt>
              </c:strCache>
            </c:strRef>
          </c:cat>
          <c:val>
            <c:numRef>
              <c:f>(B.2!$L$11,B.2!$N$11,B.2!$P$11,B.2!$R$11,B.2!$T$11,B.2!$V$11)</c:f>
              <c:numCache>
                <c:formatCode>0%</c:formatCode>
                <c:ptCount val="6"/>
                <c:pt idx="0">
                  <c:v>0.36542669584245074</c:v>
                </c:pt>
                <c:pt idx="1">
                  <c:v>0.37636761487964987</c:v>
                </c:pt>
                <c:pt idx="2">
                  <c:v>0.32605531295487628</c:v>
                </c:pt>
                <c:pt idx="3">
                  <c:v>0.33964095099466279</c:v>
                </c:pt>
                <c:pt idx="4">
                  <c:v>0.34548688305913738</c:v>
                </c:pt>
                <c:pt idx="5">
                  <c:v>0.352156514006225</c:v>
                </c:pt>
              </c:numCache>
            </c:numRef>
          </c:val>
        </c:ser>
        <c:dLbls>
          <c:dLblPos val="inEnd"/>
          <c:showLegendKey val="0"/>
          <c:showVal val="1"/>
          <c:showCatName val="0"/>
          <c:showSerName val="0"/>
          <c:showPercent val="0"/>
          <c:showBubbleSize val="0"/>
        </c:dLbls>
        <c:gapWidth val="150"/>
        <c:overlap val="100"/>
        <c:axId val="236938816"/>
        <c:axId val="236939376"/>
      </c:barChart>
      <c:catAx>
        <c:axId val="236938816"/>
        <c:scaling>
          <c:orientation val="minMax"/>
        </c:scaling>
        <c:delete val="0"/>
        <c:axPos val="l"/>
        <c:numFmt formatCode="General" sourceLinked="1"/>
        <c:majorTickMark val="out"/>
        <c:minorTickMark val="none"/>
        <c:tickLblPos val="nextTo"/>
        <c:crossAx val="236939376"/>
        <c:crosses val="autoZero"/>
        <c:auto val="1"/>
        <c:lblAlgn val="ctr"/>
        <c:lblOffset val="100"/>
        <c:noMultiLvlLbl val="0"/>
      </c:catAx>
      <c:valAx>
        <c:axId val="236939376"/>
        <c:scaling>
          <c:orientation val="minMax"/>
        </c:scaling>
        <c:delete val="0"/>
        <c:axPos val="b"/>
        <c:majorGridlines>
          <c:spPr>
            <a:ln>
              <a:solidFill>
                <a:schemeClr val="bg1"/>
              </a:solidFill>
            </a:ln>
          </c:spPr>
        </c:majorGridlines>
        <c:numFmt formatCode="0%" sourceLinked="1"/>
        <c:majorTickMark val="out"/>
        <c:minorTickMark val="none"/>
        <c:tickLblPos val="nextTo"/>
        <c:crossAx val="236938816"/>
        <c:crosses val="autoZero"/>
        <c:crossBetween val="between"/>
      </c:valAx>
      <c:spPr>
        <a:solidFill>
          <a:schemeClr val="bg1">
            <a:lumMod val="75000"/>
          </a:schemeClr>
        </a:solidFill>
        <a:ln>
          <a:noFill/>
        </a:ln>
      </c:spPr>
    </c:plotArea>
    <c:legend>
      <c:legendPos val="r"/>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s-CL" baseline="0">
                <a:solidFill>
                  <a:schemeClr val="tx1">
                    <a:lumMod val="65000"/>
                    <a:lumOff val="35000"/>
                  </a:schemeClr>
                </a:solidFill>
              </a:rPr>
              <a:t>Total gasto en I+D de empresas exportadoras (MM$ reales de 2014)</a:t>
            </a:r>
          </a:p>
        </c:rich>
      </c:tx>
      <c:layout>
        <c:manualLayout>
          <c:xMode val="edge"/>
          <c:yMode val="edge"/>
          <c:x val="0.12160685723926042"/>
          <c:y val="2.9574855628518078E-2"/>
        </c:manualLayout>
      </c:layout>
      <c:overlay val="0"/>
    </c:title>
    <c:autoTitleDeleted val="0"/>
    <c:plotArea>
      <c:layout>
        <c:manualLayout>
          <c:layoutTarget val="inner"/>
          <c:xMode val="edge"/>
          <c:yMode val="edge"/>
          <c:x val="9.8378024131408795E-2"/>
          <c:y val="0.17301969755246724"/>
          <c:w val="0.77423889380947286"/>
          <c:h val="0.55302922981564617"/>
        </c:manualLayout>
      </c:layout>
      <c:barChart>
        <c:barDir val="col"/>
        <c:grouping val="clustered"/>
        <c:varyColors val="0"/>
        <c:ser>
          <c:idx val="0"/>
          <c:order val="0"/>
          <c:tx>
            <c:strRef>
              <c:f>B.2!$J$20</c:f>
              <c:strCache>
                <c:ptCount val="1"/>
                <c:pt idx="0">
                  <c:v>No Exporta</c:v>
                </c:pt>
              </c:strCache>
            </c:strRef>
          </c:tx>
          <c:invertIfNegative val="0"/>
          <c:cat>
            <c:multiLvlStrRef>
              <c:f>B.2!$K$18:$AB$19</c:f>
              <c:multiLvlStrCache>
                <c:ptCount val="18"/>
                <c:lvl>
                  <c:pt idx="0">
                    <c:v>Gasto Corriente</c:v>
                  </c:pt>
                  <c:pt idx="1">
                    <c:v>Gasto Capital</c:v>
                  </c:pt>
                  <c:pt idx="2">
                    <c:v>Gasto Total</c:v>
                  </c:pt>
                  <c:pt idx="3">
                    <c:v>Gasto Corriente</c:v>
                  </c:pt>
                  <c:pt idx="4">
                    <c:v>Gasto Capital</c:v>
                  </c:pt>
                  <c:pt idx="5">
                    <c:v>Gasto Total</c:v>
                  </c:pt>
                  <c:pt idx="6">
                    <c:v>Gasto Corriente</c:v>
                  </c:pt>
                  <c:pt idx="7">
                    <c:v>Gasto Capital</c:v>
                  </c:pt>
                  <c:pt idx="8">
                    <c:v>Gasto Total</c:v>
                  </c:pt>
                  <c:pt idx="9">
                    <c:v>Gasto Corriente</c:v>
                  </c:pt>
                  <c:pt idx="10">
                    <c:v>Gasto Capital</c:v>
                  </c:pt>
                  <c:pt idx="11">
                    <c:v>Gasto Total</c:v>
                  </c:pt>
                  <c:pt idx="12">
                    <c:v>Gasto Corriente</c:v>
                  </c:pt>
                  <c:pt idx="13">
                    <c:v>Gasto Capital</c:v>
                  </c:pt>
                  <c:pt idx="14">
                    <c:v>Gasto Total</c:v>
                  </c:pt>
                  <c:pt idx="15">
                    <c:v>Gasto Corriente</c:v>
                  </c:pt>
                  <c:pt idx="16">
                    <c:v>Gasto Capital</c:v>
                  </c:pt>
                  <c:pt idx="17">
                    <c:v>Gasto Total</c:v>
                  </c:pt>
                </c:lvl>
                <c:lvl>
                  <c:pt idx="0">
                    <c:v>2009</c:v>
                  </c:pt>
                  <c:pt idx="3">
                    <c:v>2010</c:v>
                  </c:pt>
                  <c:pt idx="6">
                    <c:v>2011</c:v>
                  </c:pt>
                  <c:pt idx="9">
                    <c:v>2012</c:v>
                  </c:pt>
                  <c:pt idx="12">
                    <c:v>2013</c:v>
                  </c:pt>
                  <c:pt idx="15">
                    <c:v>2014p</c:v>
                  </c:pt>
                </c:lvl>
              </c:multiLvlStrCache>
            </c:multiLvlStrRef>
          </c:cat>
          <c:val>
            <c:numRef>
              <c:f>B.2!$K$20:$AB$20</c:f>
              <c:numCache>
                <c:formatCode>#,##0</c:formatCode>
                <c:ptCount val="18"/>
                <c:pt idx="0">
                  <c:v>44135.199697499993</c:v>
                </c:pt>
                <c:pt idx="1">
                  <c:v>11182.149517679998</c:v>
                </c:pt>
                <c:pt idx="2">
                  <c:v>55317.349215179987</c:v>
                </c:pt>
                <c:pt idx="3">
                  <c:v>50310.437604000006</c:v>
                </c:pt>
                <c:pt idx="4">
                  <c:v>17224.1237</c:v>
                </c:pt>
                <c:pt idx="5">
                  <c:v>67534.561304000003</c:v>
                </c:pt>
                <c:pt idx="6">
                  <c:v>48172.706336999996</c:v>
                </c:pt>
                <c:pt idx="7">
                  <c:v>16492.256724999999</c:v>
                </c:pt>
                <c:pt idx="8">
                  <c:v>64664.963061999995</c:v>
                </c:pt>
                <c:pt idx="9">
                  <c:v>45044.0282095</c:v>
                </c:pt>
                <c:pt idx="10">
                  <c:v>16906.604346100001</c:v>
                </c:pt>
                <c:pt idx="11">
                  <c:v>61950.632555600001</c:v>
                </c:pt>
                <c:pt idx="12">
                  <c:v>55467.05506767</c:v>
                </c:pt>
                <c:pt idx="13">
                  <c:v>11229.30121256</c:v>
                </c:pt>
                <c:pt idx="14">
                  <c:v>66696.35628023</c:v>
                </c:pt>
                <c:pt idx="15">
                  <c:v>49803.790999999997</c:v>
                </c:pt>
                <c:pt idx="16">
                  <c:v>11599.318000000003</c:v>
                </c:pt>
                <c:pt idx="17">
                  <c:v>61403.108999999997</c:v>
                </c:pt>
              </c:numCache>
            </c:numRef>
          </c:val>
        </c:ser>
        <c:ser>
          <c:idx val="1"/>
          <c:order val="1"/>
          <c:tx>
            <c:strRef>
              <c:f>B.2!$J$21</c:f>
              <c:strCache>
                <c:ptCount val="1"/>
                <c:pt idx="0">
                  <c:v>Exporta</c:v>
                </c:pt>
              </c:strCache>
            </c:strRef>
          </c:tx>
          <c:invertIfNegative val="0"/>
          <c:cat>
            <c:multiLvlStrRef>
              <c:f>B.2!$K$18:$AB$19</c:f>
              <c:multiLvlStrCache>
                <c:ptCount val="18"/>
                <c:lvl>
                  <c:pt idx="0">
                    <c:v>Gasto Corriente</c:v>
                  </c:pt>
                  <c:pt idx="1">
                    <c:v>Gasto Capital</c:v>
                  </c:pt>
                  <c:pt idx="2">
                    <c:v>Gasto Total</c:v>
                  </c:pt>
                  <c:pt idx="3">
                    <c:v>Gasto Corriente</c:v>
                  </c:pt>
                  <c:pt idx="4">
                    <c:v>Gasto Capital</c:v>
                  </c:pt>
                  <c:pt idx="5">
                    <c:v>Gasto Total</c:v>
                  </c:pt>
                  <c:pt idx="6">
                    <c:v>Gasto Corriente</c:v>
                  </c:pt>
                  <c:pt idx="7">
                    <c:v>Gasto Capital</c:v>
                  </c:pt>
                  <c:pt idx="8">
                    <c:v>Gasto Total</c:v>
                  </c:pt>
                  <c:pt idx="9">
                    <c:v>Gasto Corriente</c:v>
                  </c:pt>
                  <c:pt idx="10">
                    <c:v>Gasto Capital</c:v>
                  </c:pt>
                  <c:pt idx="11">
                    <c:v>Gasto Total</c:v>
                  </c:pt>
                  <c:pt idx="12">
                    <c:v>Gasto Corriente</c:v>
                  </c:pt>
                  <c:pt idx="13">
                    <c:v>Gasto Capital</c:v>
                  </c:pt>
                  <c:pt idx="14">
                    <c:v>Gasto Total</c:v>
                  </c:pt>
                  <c:pt idx="15">
                    <c:v>Gasto Corriente</c:v>
                  </c:pt>
                  <c:pt idx="16">
                    <c:v>Gasto Capital</c:v>
                  </c:pt>
                  <c:pt idx="17">
                    <c:v>Gasto Total</c:v>
                  </c:pt>
                </c:lvl>
                <c:lvl>
                  <c:pt idx="0">
                    <c:v>2009</c:v>
                  </c:pt>
                  <c:pt idx="3">
                    <c:v>2010</c:v>
                  </c:pt>
                  <c:pt idx="6">
                    <c:v>2011</c:v>
                  </c:pt>
                  <c:pt idx="9">
                    <c:v>2012</c:v>
                  </c:pt>
                  <c:pt idx="12">
                    <c:v>2013</c:v>
                  </c:pt>
                  <c:pt idx="15">
                    <c:v>2014p</c:v>
                  </c:pt>
                </c:lvl>
              </c:multiLvlStrCache>
            </c:multiLvlStrRef>
          </c:cat>
          <c:val>
            <c:numRef>
              <c:f>B.2!$K$21:$AB$21</c:f>
              <c:numCache>
                <c:formatCode>#,##0</c:formatCode>
                <c:ptCount val="18"/>
                <c:pt idx="0">
                  <c:v>53404.100500499997</c:v>
                </c:pt>
                <c:pt idx="1">
                  <c:v>8702.2246876199988</c:v>
                </c:pt>
                <c:pt idx="2">
                  <c:v>62106.325188119998</c:v>
                </c:pt>
                <c:pt idx="3">
                  <c:v>44173.167372000004</c:v>
                </c:pt>
                <c:pt idx="4">
                  <c:v>12631.671520000002</c:v>
                </c:pt>
                <c:pt idx="5">
                  <c:v>56804.838892000007</c:v>
                </c:pt>
                <c:pt idx="6">
                  <c:v>42296.213690999997</c:v>
                </c:pt>
                <c:pt idx="7">
                  <c:v>12094.941560000001</c:v>
                </c:pt>
                <c:pt idx="8">
                  <c:v>54391.155250999996</c:v>
                </c:pt>
                <c:pt idx="9">
                  <c:v>62122.201030099997</c:v>
                </c:pt>
                <c:pt idx="10">
                  <c:v>34292.705979309001</c:v>
                </c:pt>
                <c:pt idx="11">
                  <c:v>96414.907009408998</c:v>
                </c:pt>
                <c:pt idx="12">
                  <c:v>96456.966840790003</c:v>
                </c:pt>
                <c:pt idx="13">
                  <c:v>33137.771219270006</c:v>
                </c:pt>
                <c:pt idx="14">
                  <c:v>129594.73806006002</c:v>
                </c:pt>
                <c:pt idx="15">
                  <c:v>106056.179</c:v>
                </c:pt>
                <c:pt idx="16">
                  <c:v>19485.902999999998</c:v>
                </c:pt>
                <c:pt idx="17">
                  <c:v>125542.08199999999</c:v>
                </c:pt>
              </c:numCache>
            </c:numRef>
          </c:val>
        </c:ser>
        <c:dLbls>
          <c:showLegendKey val="0"/>
          <c:showVal val="0"/>
          <c:showCatName val="0"/>
          <c:showSerName val="0"/>
          <c:showPercent val="0"/>
          <c:showBubbleSize val="0"/>
        </c:dLbls>
        <c:gapWidth val="150"/>
        <c:axId val="238181232"/>
        <c:axId val="238181792"/>
      </c:barChart>
      <c:catAx>
        <c:axId val="238181232"/>
        <c:scaling>
          <c:orientation val="minMax"/>
        </c:scaling>
        <c:delete val="0"/>
        <c:axPos val="b"/>
        <c:numFmt formatCode="General" sourceLinked="0"/>
        <c:majorTickMark val="out"/>
        <c:minorTickMark val="none"/>
        <c:tickLblPos val="nextTo"/>
        <c:crossAx val="238181792"/>
        <c:crosses val="autoZero"/>
        <c:auto val="1"/>
        <c:lblAlgn val="ctr"/>
        <c:lblOffset val="100"/>
        <c:noMultiLvlLbl val="0"/>
      </c:catAx>
      <c:valAx>
        <c:axId val="238181792"/>
        <c:scaling>
          <c:orientation val="minMax"/>
        </c:scaling>
        <c:delete val="0"/>
        <c:axPos val="l"/>
        <c:majorGridlines>
          <c:spPr>
            <a:ln>
              <a:solidFill>
                <a:schemeClr val="bg1"/>
              </a:solidFill>
            </a:ln>
          </c:spPr>
        </c:majorGridlines>
        <c:numFmt formatCode="#,##0" sourceLinked="1"/>
        <c:majorTickMark val="out"/>
        <c:minorTickMark val="none"/>
        <c:tickLblPos val="nextTo"/>
        <c:crossAx val="238181232"/>
        <c:crosses val="autoZero"/>
        <c:crossBetween val="between"/>
      </c:valAx>
      <c:spPr>
        <a:solidFill>
          <a:schemeClr val="bg1">
            <a:lumMod val="75000"/>
          </a:schemeClr>
        </a:solidFill>
      </c:spPr>
    </c:plotArea>
    <c:legend>
      <c:legendPos val="r"/>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Promedio</a:t>
            </a:r>
            <a:r>
              <a:rPr lang="es-CL" sz="1600" baseline="0"/>
              <a:t> de gasto I+D si empresa exporta</a:t>
            </a:r>
            <a:r>
              <a:rPr lang="es-CL" sz="1600"/>
              <a:t> (MM$ reales de 2014)</a:t>
            </a:r>
          </a:p>
        </c:rich>
      </c:tx>
      <c:overlay val="0"/>
    </c:title>
    <c:autoTitleDeleted val="0"/>
    <c:plotArea>
      <c:layout>
        <c:manualLayout>
          <c:layoutTarget val="inner"/>
          <c:xMode val="edge"/>
          <c:yMode val="edge"/>
          <c:x val="6.4642561619883104E-2"/>
          <c:y val="0.20758778836855921"/>
          <c:w val="0.76539027486043565"/>
          <c:h val="0.70451167288299488"/>
        </c:manualLayout>
      </c:layout>
      <c:lineChart>
        <c:grouping val="standard"/>
        <c:varyColors val="0"/>
        <c:ser>
          <c:idx val="0"/>
          <c:order val="0"/>
          <c:tx>
            <c:strRef>
              <c:f>B.2!$AD$20</c:f>
              <c:strCache>
                <c:ptCount val="1"/>
                <c:pt idx="0">
                  <c:v>No Exporta</c:v>
                </c:pt>
              </c:strCache>
            </c:strRef>
          </c:tx>
          <c:dLbls>
            <c:spPr>
              <a:noFill/>
              <a:ln>
                <a:noFill/>
              </a:ln>
              <a:effectLst/>
            </c:spPr>
            <c:txPr>
              <a:bodyPr/>
              <a:lstStyle/>
              <a:p>
                <a:pPr>
                  <a:defRPr b="1">
                    <a:solidFill>
                      <a:srgbClr val="0070C0"/>
                    </a:solidFill>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B.2!$AE$19:$AJ$19</c:f>
              <c:strCache>
                <c:ptCount val="6"/>
                <c:pt idx="0">
                  <c:v>2009</c:v>
                </c:pt>
                <c:pt idx="1">
                  <c:v>2010</c:v>
                </c:pt>
                <c:pt idx="2">
                  <c:v>2011</c:v>
                </c:pt>
                <c:pt idx="3">
                  <c:v>2012</c:v>
                </c:pt>
                <c:pt idx="4">
                  <c:v>2013</c:v>
                </c:pt>
                <c:pt idx="5">
                  <c:v>2014p</c:v>
                </c:pt>
              </c:strCache>
            </c:strRef>
          </c:cat>
          <c:val>
            <c:numRef>
              <c:f>B.2!$AE$20:$AJ$20</c:f>
              <c:numCache>
                <c:formatCode>0</c:formatCode>
                <c:ptCount val="6"/>
                <c:pt idx="0">
                  <c:v>361.55127130000005</c:v>
                </c:pt>
                <c:pt idx="1">
                  <c:v>414.3224619877297</c:v>
                </c:pt>
                <c:pt idx="2">
                  <c:v>231.99724107999998</c:v>
                </c:pt>
                <c:pt idx="3">
                  <c:v>255.04928504900002</c:v>
                </c:pt>
                <c:pt idx="4">
                  <c:v>204.59004993935582</c:v>
                </c:pt>
                <c:pt idx="5">
                  <c:v>176.44571551724138</c:v>
                </c:pt>
              </c:numCache>
            </c:numRef>
          </c:val>
          <c:smooth val="0"/>
        </c:ser>
        <c:ser>
          <c:idx val="1"/>
          <c:order val="1"/>
          <c:tx>
            <c:strRef>
              <c:f>B.2!$AD$21</c:f>
              <c:strCache>
                <c:ptCount val="1"/>
                <c:pt idx="0">
                  <c:v>Exporta</c:v>
                </c:pt>
              </c:strCache>
            </c:strRef>
          </c:tx>
          <c:dLbls>
            <c:dLbl>
              <c:idx val="1"/>
              <c:layout>
                <c:manualLayout>
                  <c:x val="-3.7718832020997378E-2"/>
                  <c:y val="7.6833264263019757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rgbClr val="FF0000"/>
                    </a:solidFill>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B.2!$AE$19:$AJ$19</c:f>
              <c:strCache>
                <c:ptCount val="6"/>
                <c:pt idx="0">
                  <c:v>2009</c:v>
                </c:pt>
                <c:pt idx="1">
                  <c:v>2010</c:v>
                </c:pt>
                <c:pt idx="2">
                  <c:v>2011</c:v>
                </c:pt>
                <c:pt idx="3">
                  <c:v>2012</c:v>
                </c:pt>
                <c:pt idx="4">
                  <c:v>2013</c:v>
                </c:pt>
                <c:pt idx="5">
                  <c:v>2014p</c:v>
                </c:pt>
              </c:strCache>
            </c:strRef>
          </c:cat>
          <c:val>
            <c:numRef>
              <c:f>B.2!$AE$21:$AJ$21</c:f>
              <c:numCache>
                <c:formatCode>0</c:formatCode>
                <c:ptCount val="6"/>
                <c:pt idx="0">
                  <c:v>428.31951651310351</c:v>
                </c:pt>
                <c:pt idx="1">
                  <c:v>366.48275784516102</c:v>
                </c:pt>
                <c:pt idx="2">
                  <c:v>393.63415736999997</c:v>
                </c:pt>
                <c:pt idx="3">
                  <c:v>425.68558700800003</c:v>
                </c:pt>
                <c:pt idx="4">
                  <c:v>457.93193660798585</c:v>
                </c:pt>
                <c:pt idx="5">
                  <c:v>417.08332890365449</c:v>
                </c:pt>
              </c:numCache>
            </c:numRef>
          </c:val>
          <c:smooth val="0"/>
        </c:ser>
        <c:dLbls>
          <c:dLblPos val="t"/>
          <c:showLegendKey val="0"/>
          <c:showVal val="1"/>
          <c:showCatName val="0"/>
          <c:showSerName val="0"/>
          <c:showPercent val="0"/>
          <c:showBubbleSize val="0"/>
        </c:dLbls>
        <c:marker val="1"/>
        <c:smooth val="0"/>
        <c:axId val="238185152"/>
        <c:axId val="238185712"/>
      </c:lineChart>
      <c:catAx>
        <c:axId val="238185152"/>
        <c:scaling>
          <c:orientation val="minMax"/>
        </c:scaling>
        <c:delete val="0"/>
        <c:axPos val="b"/>
        <c:numFmt formatCode="General" sourceLinked="1"/>
        <c:majorTickMark val="out"/>
        <c:minorTickMark val="none"/>
        <c:tickLblPos val="nextTo"/>
        <c:crossAx val="238185712"/>
        <c:crosses val="autoZero"/>
        <c:auto val="1"/>
        <c:lblAlgn val="ctr"/>
        <c:lblOffset val="100"/>
        <c:noMultiLvlLbl val="0"/>
      </c:catAx>
      <c:valAx>
        <c:axId val="238185712"/>
        <c:scaling>
          <c:orientation val="minMax"/>
        </c:scaling>
        <c:delete val="0"/>
        <c:axPos val="l"/>
        <c:majorGridlines>
          <c:spPr>
            <a:ln>
              <a:solidFill>
                <a:schemeClr val="bg1"/>
              </a:solidFill>
            </a:ln>
          </c:spPr>
        </c:majorGridlines>
        <c:numFmt formatCode="0" sourceLinked="1"/>
        <c:majorTickMark val="out"/>
        <c:minorTickMark val="none"/>
        <c:tickLblPos val="nextTo"/>
        <c:crossAx val="238185152"/>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s-CL" baseline="0">
                <a:solidFill>
                  <a:sysClr val="windowText" lastClr="000000"/>
                </a:solidFill>
              </a:rPr>
              <a:t>Evolución de la Distribución de Gasto en I+D Según Sector de Ejecución (MM$ reales de 2014)</a:t>
            </a:r>
          </a:p>
        </c:rich>
      </c:tx>
      <c:overlay val="0"/>
    </c:title>
    <c:autoTitleDeleted val="0"/>
    <c:plotArea>
      <c:layout/>
      <c:lineChart>
        <c:grouping val="standard"/>
        <c:varyColors val="0"/>
        <c:ser>
          <c:idx val="0"/>
          <c:order val="0"/>
          <c:tx>
            <c:strRef>
              <c:f>'C.3'!$B$8</c:f>
              <c:strCache>
                <c:ptCount val="1"/>
                <c:pt idx="0">
                  <c:v>Empresas</c:v>
                </c:pt>
              </c:strCache>
            </c:strRef>
          </c:tx>
          <c:marker>
            <c:symbol val="none"/>
          </c:marker>
          <c:dLbls>
            <c:dLbl>
              <c:idx val="1"/>
              <c:layout>
                <c:manualLayout>
                  <c:x val="-1.4678899082568808E-2"/>
                  <c:y val="-2.777777777777780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2.4464831804281344E-3"/>
                  <c:y val="-3.703703703703703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4.8929663608562688E-3"/>
                  <c:y val="3.703703703703699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8.7145981458628848E-3"/>
                  <c:y val="-4.166673521833982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9293812882344415E-2"/>
                  <c:y val="-4.546641735794174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3.485839258345154E-3"/>
                  <c:y val="-2.3506368724642734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1"/>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'C.3'!$C$7:$J$7</c:f>
              <c:strCache>
                <c:ptCount val="8"/>
                <c:pt idx="0">
                  <c:v>2007</c:v>
                </c:pt>
                <c:pt idx="1">
                  <c:v>2008</c:v>
                </c:pt>
                <c:pt idx="2">
                  <c:v>2009</c:v>
                </c:pt>
                <c:pt idx="3">
                  <c:v>2010</c:v>
                </c:pt>
                <c:pt idx="4">
                  <c:v>2011</c:v>
                </c:pt>
                <c:pt idx="5">
                  <c:v>2012</c:v>
                </c:pt>
                <c:pt idx="6">
                  <c:v>2013</c:v>
                </c:pt>
                <c:pt idx="7">
                  <c:v>2014p</c:v>
                </c:pt>
              </c:strCache>
            </c:strRef>
          </c:cat>
          <c:val>
            <c:numRef>
              <c:f>'C.3'!$C$8:$J$8</c:f>
              <c:numCache>
                <c:formatCode>#,##0</c:formatCode>
                <c:ptCount val="8"/>
                <c:pt idx="0">
                  <c:v>121171.51922660999</c:v>
                </c:pt>
                <c:pt idx="1">
                  <c:v>165053.38260756002</c:v>
                </c:pt>
                <c:pt idx="2">
                  <c:v>117423.67440329998</c:v>
                </c:pt>
                <c:pt idx="3">
                  <c:v>124339.44590000001</c:v>
                </c:pt>
                <c:pt idx="4">
                  <c:v>159705.26161000002</c:v>
                </c:pt>
                <c:pt idx="5">
                  <c:v>174690.23377399999</c:v>
                </c:pt>
                <c:pt idx="6">
                  <c:v>196291.09434029</c:v>
                </c:pt>
                <c:pt idx="7">
                  <c:v>186945.19099999999</c:v>
                </c:pt>
              </c:numCache>
            </c:numRef>
          </c:val>
          <c:smooth val="1"/>
        </c:ser>
        <c:ser>
          <c:idx val="1"/>
          <c:order val="1"/>
          <c:tx>
            <c:strRef>
              <c:f>'C.3'!$B$9</c:f>
              <c:strCache>
                <c:ptCount val="1"/>
                <c:pt idx="0">
                  <c:v>Estado</c:v>
                </c:pt>
              </c:strCache>
            </c:strRef>
          </c:tx>
          <c:marker>
            <c:symbol val="none"/>
          </c:marker>
          <c:dLbls>
            <c:dLbl>
              <c:idx val="0"/>
              <c:layout>
                <c:manualLayout>
                  <c:x val="2.2425836755411364E-17"/>
                  <c:y val="2.31481481481480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2.2018348623853212E-2"/>
                  <c:y val="-2.777777777777777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0"/>
                  <c:y val="-4.16666666666666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0"/>
                  <c:y val="-4.16666666666666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8.9703347021645455E-17"/>
                  <c:y val="-4.629629629629629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0"/>
                  <c:y val="-4.629629629629629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0"/>
                  <c:y val="-2.0894549977460208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2"/>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'C.3'!$C$7:$J$7</c:f>
              <c:strCache>
                <c:ptCount val="8"/>
                <c:pt idx="0">
                  <c:v>2007</c:v>
                </c:pt>
                <c:pt idx="1">
                  <c:v>2008</c:v>
                </c:pt>
                <c:pt idx="2">
                  <c:v>2009</c:v>
                </c:pt>
                <c:pt idx="3">
                  <c:v>2010</c:v>
                </c:pt>
                <c:pt idx="4">
                  <c:v>2011</c:v>
                </c:pt>
                <c:pt idx="5">
                  <c:v>2012</c:v>
                </c:pt>
                <c:pt idx="6">
                  <c:v>2013</c:v>
                </c:pt>
                <c:pt idx="7">
                  <c:v>2014p</c:v>
                </c:pt>
              </c:strCache>
            </c:strRef>
          </c:cat>
          <c:val>
            <c:numRef>
              <c:f>'C.3'!$C$9:$J$9</c:f>
              <c:numCache>
                <c:formatCode>#,##0</c:formatCode>
                <c:ptCount val="8"/>
                <c:pt idx="0">
                  <c:v>34406.032637249999</c:v>
                </c:pt>
                <c:pt idx="1">
                  <c:v>39502.899937870003</c:v>
                </c:pt>
                <c:pt idx="2">
                  <c:v>13358.716951500001</c:v>
                </c:pt>
                <c:pt idx="3">
                  <c:v>15481.030270000001</c:v>
                </c:pt>
                <c:pt idx="4">
                  <c:v>18646.561520499999</c:v>
                </c:pt>
                <c:pt idx="5">
                  <c:v>20684.441897799999</c:v>
                </c:pt>
                <c:pt idx="6">
                  <c:v>47095.843417950004</c:v>
                </c:pt>
                <c:pt idx="7">
                  <c:v>45383.446000000004</c:v>
                </c:pt>
              </c:numCache>
            </c:numRef>
          </c:val>
          <c:smooth val="1"/>
        </c:ser>
        <c:ser>
          <c:idx val="2"/>
          <c:order val="2"/>
          <c:tx>
            <c:strRef>
              <c:f>'C.3'!$B$10</c:f>
              <c:strCache>
                <c:ptCount val="1"/>
                <c:pt idx="0">
                  <c:v>Ed. Superior</c:v>
                </c:pt>
              </c:strCache>
            </c:strRef>
          </c:tx>
          <c:marker>
            <c:symbol val="none"/>
          </c:marker>
          <c:dLbls>
            <c:dLbl>
              <c:idx val="0"/>
              <c:layout>
                <c:manualLayout>
                  <c:x val="2.2425836755411364E-17"/>
                  <c:y val="-2.777777777777777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3.944748624328636E-2"/>
                  <c:y val="4.166673521833977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0"/>
                  <c:y val="-3.240740740740742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7.3394495412844041E-3"/>
                  <c:y val="-3.24074074074074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2781262963691806E-16"/>
                  <c:y val="3.121946022960966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0"/>
                  <c:y val="1.95841161934407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0"/>
                  <c:y val="-3.1341824966190313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3"/>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'C.3'!$C$7:$J$7</c:f>
              <c:strCache>
                <c:ptCount val="8"/>
                <c:pt idx="0">
                  <c:v>2007</c:v>
                </c:pt>
                <c:pt idx="1">
                  <c:v>2008</c:v>
                </c:pt>
                <c:pt idx="2">
                  <c:v>2009</c:v>
                </c:pt>
                <c:pt idx="3">
                  <c:v>2010</c:v>
                </c:pt>
                <c:pt idx="4">
                  <c:v>2011</c:v>
                </c:pt>
                <c:pt idx="5">
                  <c:v>2012</c:v>
                </c:pt>
                <c:pt idx="6">
                  <c:v>2013</c:v>
                </c:pt>
                <c:pt idx="7">
                  <c:v>2014p</c:v>
                </c:pt>
              </c:strCache>
            </c:strRef>
          </c:cat>
          <c:val>
            <c:numRef>
              <c:f>'C.3'!$C$10:$J$10</c:f>
              <c:numCache>
                <c:formatCode>#,##0</c:formatCode>
                <c:ptCount val="8"/>
                <c:pt idx="0">
                  <c:v>150168.33004077</c:v>
                </c:pt>
                <c:pt idx="1">
                  <c:v>166664.34184735004</c:v>
                </c:pt>
                <c:pt idx="2">
                  <c:v>159424.76437200001</c:v>
                </c:pt>
                <c:pt idx="3">
                  <c:v>161735.48704000001</c:v>
                </c:pt>
                <c:pt idx="4">
                  <c:v>152037.61218500001</c:v>
                </c:pt>
                <c:pt idx="5">
                  <c:v>170241.55764391852</c:v>
                </c:pt>
                <c:pt idx="6">
                  <c:v>220537.34379349</c:v>
                </c:pt>
                <c:pt idx="7">
                  <c:v>217120.68299999999</c:v>
                </c:pt>
              </c:numCache>
            </c:numRef>
          </c:val>
          <c:smooth val="1"/>
        </c:ser>
        <c:ser>
          <c:idx val="3"/>
          <c:order val="3"/>
          <c:tx>
            <c:strRef>
              <c:f>'C.3'!$B$11</c:f>
              <c:strCache>
                <c:ptCount val="1"/>
                <c:pt idx="0">
                  <c:v>IPSFL</c:v>
                </c:pt>
              </c:strCache>
            </c:strRef>
          </c:tx>
          <c:marker>
            <c:symbol val="none"/>
          </c:marker>
          <c:dLbls>
            <c:dLbl>
              <c:idx val="0"/>
              <c:layout>
                <c:manualLayout>
                  <c:x val="2.2425836755411364E-17"/>
                  <c:y val="-2.777777777777777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3.1804281345565746E-2"/>
                  <c:y val="3.240740740740748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3.4858392583450902E-3"/>
                  <c:y val="-3.64430977239747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4465376558472072E-3"/>
                  <c:y val="-3.264320992935338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2.4466758168990342E-3"/>
                  <c:y val="-4.629629629629629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0457517775035462E-2"/>
                  <c:y val="-2.196004863329900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742919629172577E-3"/>
                  <c:y val="2.0894549977460208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1.2781262963691806E-16"/>
                  <c:y val="1.8282731230277682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4"/>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'C.3'!$C$7:$J$7</c:f>
              <c:strCache>
                <c:ptCount val="8"/>
                <c:pt idx="0">
                  <c:v>2007</c:v>
                </c:pt>
                <c:pt idx="1">
                  <c:v>2008</c:v>
                </c:pt>
                <c:pt idx="2">
                  <c:v>2009</c:v>
                </c:pt>
                <c:pt idx="3">
                  <c:v>2010</c:v>
                </c:pt>
                <c:pt idx="4">
                  <c:v>2011</c:v>
                </c:pt>
                <c:pt idx="5">
                  <c:v>2012</c:v>
                </c:pt>
                <c:pt idx="6">
                  <c:v>2013</c:v>
                </c:pt>
                <c:pt idx="7">
                  <c:v>2014p</c:v>
                </c:pt>
              </c:strCache>
            </c:strRef>
          </c:cat>
          <c:val>
            <c:numRef>
              <c:f>'C.3'!$C$11:$J$11</c:f>
              <c:numCache>
                <c:formatCode>#,##0</c:formatCode>
                <c:ptCount val="8"/>
                <c:pt idx="0">
                  <c:v>43165.712994659996</c:v>
                </c:pt>
                <c:pt idx="1">
                  <c:v>37125.922160990005</c:v>
                </c:pt>
                <c:pt idx="2">
                  <c:v>41725.878479999999</c:v>
                </c:pt>
                <c:pt idx="3">
                  <c:v>42788.359023999998</c:v>
                </c:pt>
                <c:pt idx="4">
                  <c:v>45709.201130499998</c:v>
                </c:pt>
                <c:pt idx="5">
                  <c:v>56218.880721320005</c:v>
                </c:pt>
                <c:pt idx="6">
                  <c:v>23431.130947859998</c:v>
                </c:pt>
                <c:pt idx="7">
                  <c:v>42966.548000000003</c:v>
                </c:pt>
              </c:numCache>
            </c:numRef>
          </c:val>
          <c:smooth val="1"/>
        </c:ser>
        <c:ser>
          <c:idx val="4"/>
          <c:order val="4"/>
          <c:tx>
            <c:strRef>
              <c:f>'C.3'!$B$12</c:f>
              <c:strCache>
                <c:ptCount val="1"/>
                <c:pt idx="0">
                  <c:v>Observatorios</c:v>
                </c:pt>
              </c:strCache>
            </c:strRef>
          </c:tx>
          <c:marker>
            <c:symbol val="none"/>
          </c:marker>
          <c:dLbls>
            <c:dLbl>
              <c:idx val="0"/>
              <c:layout>
                <c:manualLayout>
                  <c:x val="-2.0915035550070942E-2"/>
                  <c:y val="-1.934822988611647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3.485839258345154E-3"/>
                  <c:y val="5.2236374943649567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0"/>
                  <c:y val="-4.392030292161747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0393016024980108E-3"/>
                  <c:y val="-4.249655322187379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2781262963691806E-16"/>
                  <c:y val="-2.59958227352447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0"/>
                  <c:y val="-2.48077536878058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0"/>
                  <c:y val="-1.3059093735912632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5"/>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'C.3'!$C$7:$J$7</c:f>
              <c:strCache>
                <c:ptCount val="8"/>
                <c:pt idx="0">
                  <c:v>2007</c:v>
                </c:pt>
                <c:pt idx="1">
                  <c:v>2008</c:v>
                </c:pt>
                <c:pt idx="2">
                  <c:v>2009</c:v>
                </c:pt>
                <c:pt idx="3">
                  <c:v>2010</c:v>
                </c:pt>
                <c:pt idx="4">
                  <c:v>2011</c:v>
                </c:pt>
                <c:pt idx="5">
                  <c:v>2012</c:v>
                </c:pt>
                <c:pt idx="6">
                  <c:v>2013</c:v>
                </c:pt>
                <c:pt idx="7">
                  <c:v>2014p</c:v>
                </c:pt>
              </c:strCache>
            </c:strRef>
          </c:cat>
          <c:val>
            <c:numRef>
              <c:f>'C.3'!$C$12:$J$12</c:f>
              <c:numCache>
                <c:formatCode>#,##0</c:formatCode>
                <c:ptCount val="8"/>
                <c:pt idx="0">
                  <c:v>0</c:v>
                </c:pt>
                <c:pt idx="1">
                  <c:v>0</c:v>
                </c:pt>
                <c:pt idx="2">
                  <c:v>68520.240059310003</c:v>
                </c:pt>
                <c:pt idx="3">
                  <c:v>75438.78016880012</c:v>
                </c:pt>
                <c:pt idx="4">
                  <c:v>93008.909175950001</c:v>
                </c:pt>
                <c:pt idx="5">
                  <c:v>81930.871838470004</c:v>
                </c:pt>
                <c:pt idx="6">
                  <c:v>73473.37762489001</c:v>
                </c:pt>
                <c:pt idx="7">
                  <c:v>65823.728000000003</c:v>
                </c:pt>
              </c:numCache>
            </c:numRef>
          </c:val>
          <c:smooth val="1"/>
        </c:ser>
        <c:dLbls>
          <c:showLegendKey val="0"/>
          <c:showVal val="0"/>
          <c:showCatName val="0"/>
          <c:showSerName val="0"/>
          <c:showPercent val="0"/>
          <c:showBubbleSize val="0"/>
        </c:dLbls>
        <c:smooth val="0"/>
        <c:axId val="237646128"/>
        <c:axId val="237646688"/>
      </c:lineChart>
      <c:catAx>
        <c:axId val="237646128"/>
        <c:scaling>
          <c:orientation val="minMax"/>
        </c:scaling>
        <c:delete val="0"/>
        <c:axPos val="b"/>
        <c:numFmt formatCode="General" sourceLinked="1"/>
        <c:majorTickMark val="out"/>
        <c:minorTickMark val="none"/>
        <c:tickLblPos val="low"/>
        <c:txPr>
          <a:bodyPr/>
          <a:lstStyle/>
          <a:p>
            <a:pPr>
              <a:defRPr>
                <a:solidFill>
                  <a:sysClr val="windowText" lastClr="000000"/>
                </a:solidFill>
              </a:defRPr>
            </a:pPr>
            <a:endParaRPr lang="es-CL"/>
          </a:p>
        </c:txPr>
        <c:crossAx val="237646688"/>
        <c:crosses val="autoZero"/>
        <c:auto val="1"/>
        <c:lblAlgn val="ctr"/>
        <c:lblOffset val="100"/>
        <c:noMultiLvlLbl val="0"/>
      </c:catAx>
      <c:valAx>
        <c:axId val="237646688"/>
        <c:scaling>
          <c:orientation val="minMax"/>
        </c:scaling>
        <c:delete val="0"/>
        <c:axPos val="l"/>
        <c:majorGridlines/>
        <c:numFmt formatCode="#,##0" sourceLinked="1"/>
        <c:majorTickMark val="out"/>
        <c:minorTickMark val="none"/>
        <c:tickLblPos val="nextTo"/>
        <c:txPr>
          <a:bodyPr/>
          <a:lstStyle/>
          <a:p>
            <a:pPr>
              <a:defRPr>
                <a:solidFill>
                  <a:sysClr val="windowText" lastClr="000000"/>
                </a:solidFill>
              </a:defRPr>
            </a:pPr>
            <a:endParaRPr lang="es-CL"/>
          </a:p>
        </c:txPr>
        <c:crossAx val="237646128"/>
        <c:crosses val="autoZero"/>
        <c:crossBetween val="between"/>
      </c:valAx>
    </c:plotArea>
    <c:legend>
      <c:legendPos val="b"/>
      <c:overlay val="0"/>
      <c:txPr>
        <a:bodyPr/>
        <a:lstStyle/>
        <a:p>
          <a:pPr>
            <a:defRPr>
              <a:solidFill>
                <a:sysClr val="windowText" lastClr="000000"/>
              </a:solidFill>
            </a:defRPr>
          </a:pPr>
          <a:endParaRPr lang="es-CL"/>
        </a:p>
      </c:txPr>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s-CL" baseline="0">
                <a:solidFill>
                  <a:sysClr val="windowText" lastClr="000000"/>
                </a:solidFill>
              </a:rPr>
              <a:t>Evolución de la Distribución de Gasto en I+D Según Sector de Ejecución (en Porcentaje)</a:t>
            </a:r>
          </a:p>
        </c:rich>
      </c:tx>
      <c:overlay val="0"/>
    </c:title>
    <c:autoTitleDeleted val="0"/>
    <c:plotArea>
      <c:layout/>
      <c:lineChart>
        <c:grouping val="standard"/>
        <c:varyColors val="0"/>
        <c:ser>
          <c:idx val="0"/>
          <c:order val="0"/>
          <c:tx>
            <c:strRef>
              <c:f>'C.3'!$L$8</c:f>
              <c:strCache>
                <c:ptCount val="1"/>
                <c:pt idx="0">
                  <c:v>Empresas</c:v>
                </c:pt>
              </c:strCache>
            </c:strRef>
          </c:tx>
          <c:marker>
            <c:symbol val="none"/>
          </c:marker>
          <c:dLbls>
            <c:dLbl>
              <c:idx val="0"/>
              <c:layout>
                <c:manualLayout>
                  <c:x val="0"/>
                  <c:y val="1.9243986254295534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4678899082568808E-2"/>
                  <c:y val="-2.777777777777780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2.4464831804281344E-3"/>
                  <c:y val="-3.703703703703703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4.8929663608562688E-3"/>
                  <c:y val="3.703703703703699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8.9703347021645455E-17"/>
                  <c:y val="-4.16666666666666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4.8929663608562688E-3"/>
                  <c:y val="-3.24074074074074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3.4046176265901174E-3"/>
                  <c:y val="2.4742268041237064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1"/>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'C.3'!$M$7:$T$7</c:f>
              <c:strCache>
                <c:ptCount val="8"/>
                <c:pt idx="0">
                  <c:v>2007</c:v>
                </c:pt>
                <c:pt idx="1">
                  <c:v>2008</c:v>
                </c:pt>
                <c:pt idx="2">
                  <c:v>2009</c:v>
                </c:pt>
                <c:pt idx="3">
                  <c:v>2010</c:v>
                </c:pt>
                <c:pt idx="4">
                  <c:v>2011</c:v>
                </c:pt>
                <c:pt idx="5">
                  <c:v>2012</c:v>
                </c:pt>
                <c:pt idx="6">
                  <c:v>2013</c:v>
                </c:pt>
                <c:pt idx="7">
                  <c:v>2014p</c:v>
                </c:pt>
              </c:strCache>
            </c:strRef>
          </c:cat>
          <c:val>
            <c:numRef>
              <c:f>'C.3'!$M$8:$T$8</c:f>
              <c:numCache>
                <c:formatCode>0%</c:formatCode>
                <c:ptCount val="8"/>
                <c:pt idx="0">
                  <c:v>0.34728430065955529</c:v>
                </c:pt>
                <c:pt idx="1">
                  <c:v>0.40419928612234801</c:v>
                </c:pt>
                <c:pt idx="2">
                  <c:v>0.29322690548228453</c:v>
                </c:pt>
                <c:pt idx="3">
                  <c:v>0.29619926383004075</c:v>
                </c:pt>
                <c:pt idx="4">
                  <c:v>0.34044487900585851</c:v>
                </c:pt>
                <c:pt idx="5">
                  <c:v>0.34676861612719073</c:v>
                </c:pt>
                <c:pt idx="6">
                  <c:v>0.3500018148082622</c:v>
                </c:pt>
                <c:pt idx="7">
                  <c:v>0.33488343059061693</c:v>
                </c:pt>
              </c:numCache>
            </c:numRef>
          </c:val>
          <c:smooth val="1"/>
        </c:ser>
        <c:ser>
          <c:idx val="1"/>
          <c:order val="1"/>
          <c:tx>
            <c:strRef>
              <c:f>'C.3'!$L$9</c:f>
              <c:strCache>
                <c:ptCount val="1"/>
                <c:pt idx="0">
                  <c:v>Estado</c:v>
                </c:pt>
              </c:strCache>
            </c:strRef>
          </c:tx>
          <c:marker>
            <c:symbol val="none"/>
          </c:marker>
          <c:dLbls>
            <c:dLbl>
              <c:idx val="0"/>
              <c:layout>
                <c:manualLayout>
                  <c:x val="2.2425836755411364E-17"/>
                  <c:y val="2.31481481481480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2.2018348623853212E-2"/>
                  <c:y val="-2.777777777777777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5.1069264398851755E-3"/>
                  <c:y val="-3.891744459777569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0"/>
                  <c:y val="-4.16666666666666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8.9703347021645455E-17"/>
                  <c:y val="-4.629629629629629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0"/>
                  <c:y val="-4.629629629629629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361847050636047E-2"/>
                  <c:y val="-2.7491408934707903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2"/>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'C.3'!$M$7:$T$7</c:f>
              <c:strCache>
                <c:ptCount val="8"/>
                <c:pt idx="0">
                  <c:v>2007</c:v>
                </c:pt>
                <c:pt idx="1">
                  <c:v>2008</c:v>
                </c:pt>
                <c:pt idx="2">
                  <c:v>2009</c:v>
                </c:pt>
                <c:pt idx="3">
                  <c:v>2010</c:v>
                </c:pt>
                <c:pt idx="4">
                  <c:v>2011</c:v>
                </c:pt>
                <c:pt idx="5">
                  <c:v>2012</c:v>
                </c:pt>
                <c:pt idx="6">
                  <c:v>2013</c:v>
                </c:pt>
                <c:pt idx="7">
                  <c:v>2014p</c:v>
                </c:pt>
              </c:strCache>
            </c:strRef>
          </c:cat>
          <c:val>
            <c:numRef>
              <c:f>'C.3'!$M$9:$T$9</c:f>
              <c:numCache>
                <c:formatCode>0%</c:formatCode>
                <c:ptCount val="8"/>
                <c:pt idx="0">
                  <c:v>9.8609599509528967E-2</c:v>
                </c:pt>
                <c:pt idx="1">
                  <c:v>9.6738665408716409E-2</c:v>
                </c:pt>
                <c:pt idx="2">
                  <c:v>3.335899044896519E-2</c:v>
                </c:pt>
                <c:pt idx="3">
                  <c:v>3.687864085378377E-2</c:v>
                </c:pt>
                <c:pt idx="4">
                  <c:v>3.9749012128504776E-2</c:v>
                </c:pt>
                <c:pt idx="5">
                  <c:v>4.1059623868514965E-2</c:v>
                </c:pt>
                <c:pt idx="6">
                  <c:v>8.3975438221523438E-2</c:v>
                </c:pt>
                <c:pt idx="7">
                  <c:v>8.1297432724567992E-2</c:v>
                </c:pt>
              </c:numCache>
            </c:numRef>
          </c:val>
          <c:smooth val="1"/>
        </c:ser>
        <c:ser>
          <c:idx val="2"/>
          <c:order val="2"/>
          <c:tx>
            <c:strRef>
              <c:f>'C.3'!$L$10</c:f>
              <c:strCache>
                <c:ptCount val="1"/>
                <c:pt idx="0">
                  <c:v>Ed. Superior</c:v>
                </c:pt>
              </c:strCache>
            </c:strRef>
          </c:tx>
          <c:marker>
            <c:symbol val="none"/>
          </c:marker>
          <c:dLbls>
            <c:dLbl>
              <c:idx val="0"/>
              <c:layout>
                <c:manualLayout>
                  <c:x val="2.2425836755411364E-17"/>
                  <c:y val="-2.777777777777777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2.2018348623853212E-2"/>
                  <c:y val="4.16666666666666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0"/>
                  <c:y val="-3.240740740740742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7.3394495412844041E-3"/>
                  <c:y val="-3.24074074074074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8.9703347021645455E-17"/>
                  <c:y val="4.16666666666666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0"/>
                  <c:y val="5.092592592592592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5.1069264398853004E-3"/>
                  <c:y val="-4.1237113402061903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3"/>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'C.3'!$M$7:$T$7</c:f>
              <c:strCache>
                <c:ptCount val="8"/>
                <c:pt idx="0">
                  <c:v>2007</c:v>
                </c:pt>
                <c:pt idx="1">
                  <c:v>2008</c:v>
                </c:pt>
                <c:pt idx="2">
                  <c:v>2009</c:v>
                </c:pt>
                <c:pt idx="3">
                  <c:v>2010</c:v>
                </c:pt>
                <c:pt idx="4">
                  <c:v>2011</c:v>
                </c:pt>
                <c:pt idx="5">
                  <c:v>2012</c:v>
                </c:pt>
                <c:pt idx="6">
                  <c:v>2013</c:v>
                </c:pt>
                <c:pt idx="7">
                  <c:v>2014p</c:v>
                </c:pt>
              </c:strCache>
            </c:strRef>
          </c:cat>
          <c:val>
            <c:numRef>
              <c:f>'C.3'!$M$10:$T$10</c:f>
              <c:numCache>
                <c:formatCode>0%</c:formatCode>
                <c:ptCount val="8"/>
                <c:pt idx="0">
                  <c:v>0.43039077014369398</c:v>
                </c:pt>
                <c:pt idx="1">
                  <c:v>0.40814436476544091</c:v>
                </c:pt>
                <c:pt idx="2">
                  <c:v>0.3981107775037413</c:v>
                </c:pt>
                <c:pt idx="3">
                  <c:v>0.38528346213613857</c:v>
                </c:pt>
                <c:pt idx="4">
                  <c:v>0.32409969441746284</c:v>
                </c:pt>
                <c:pt idx="5">
                  <c:v>0.33793777749414966</c:v>
                </c:pt>
                <c:pt idx="6">
                  <c:v>0.39323470491687867</c:v>
                </c:pt>
                <c:pt idx="7">
                  <c:v>0.3889381630320613</c:v>
                </c:pt>
              </c:numCache>
            </c:numRef>
          </c:val>
          <c:smooth val="1"/>
        </c:ser>
        <c:ser>
          <c:idx val="3"/>
          <c:order val="3"/>
          <c:tx>
            <c:strRef>
              <c:f>'C.3'!$L$11</c:f>
              <c:strCache>
                <c:ptCount val="1"/>
                <c:pt idx="0">
                  <c:v>IPSFL</c:v>
                </c:pt>
              </c:strCache>
            </c:strRef>
          </c:tx>
          <c:marker>
            <c:symbol val="none"/>
          </c:marker>
          <c:dLbls>
            <c:dLbl>
              <c:idx val="0"/>
              <c:layout>
                <c:manualLayout>
                  <c:x val="2.2425836755411364E-17"/>
                  <c:y val="-2.777777777777777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3.1804281345565746E-2"/>
                  <c:y val="3.240740740740748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0"/>
                  <c:y val="-4.16666666666666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4464831804281344E-3"/>
                  <c:y val="-5.092592592592592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2.4466758168990342E-3"/>
                  <c:y val="-4.629629629629629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0"/>
                  <c:y val="-3.24074074074074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7023088132951834E-3"/>
                  <c:y val="3.2989690721649485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5.1069264398850515E-3"/>
                  <c:y val="2.4742268041237012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4"/>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'C.3'!$M$7:$T$7</c:f>
              <c:strCache>
                <c:ptCount val="8"/>
                <c:pt idx="0">
                  <c:v>2007</c:v>
                </c:pt>
                <c:pt idx="1">
                  <c:v>2008</c:v>
                </c:pt>
                <c:pt idx="2">
                  <c:v>2009</c:v>
                </c:pt>
                <c:pt idx="3">
                  <c:v>2010</c:v>
                </c:pt>
                <c:pt idx="4">
                  <c:v>2011</c:v>
                </c:pt>
                <c:pt idx="5">
                  <c:v>2012</c:v>
                </c:pt>
                <c:pt idx="6">
                  <c:v>2013</c:v>
                </c:pt>
                <c:pt idx="7">
                  <c:v>2014p</c:v>
                </c:pt>
              </c:strCache>
            </c:strRef>
          </c:cat>
          <c:val>
            <c:numRef>
              <c:f>'C.3'!$M$11:$T$11</c:f>
              <c:numCache>
                <c:formatCode>0%</c:formatCode>
                <c:ptCount val="8"/>
                <c:pt idx="0">
                  <c:v>0.12371532968722168</c:v>
                </c:pt>
                <c:pt idx="1">
                  <c:v>9.0917683703494609E-2</c:v>
                </c:pt>
                <c:pt idx="2">
                  <c:v>0.10419662208148718</c:v>
                </c:pt>
                <c:pt idx="3">
                  <c:v>0.10192968411325597</c:v>
                </c:pt>
                <c:pt idx="4">
                  <c:v>9.743863972577553E-2</c:v>
                </c:pt>
                <c:pt idx="5">
                  <c:v>0.1115972143764643</c:v>
                </c:pt>
                <c:pt idx="6">
                  <c:v>4.1779472381685841E-2</c:v>
                </c:pt>
                <c:pt idx="7">
                  <c:v>7.6967933317291973E-2</c:v>
                </c:pt>
              </c:numCache>
            </c:numRef>
          </c:val>
          <c:smooth val="1"/>
        </c:ser>
        <c:ser>
          <c:idx val="4"/>
          <c:order val="4"/>
          <c:tx>
            <c:strRef>
              <c:f>'C.3'!$L$12</c:f>
              <c:strCache>
                <c:ptCount val="1"/>
                <c:pt idx="0">
                  <c:v>Observatorios</c:v>
                </c:pt>
              </c:strCache>
            </c:strRef>
          </c:tx>
          <c:marker>
            <c:symbol val="none"/>
          </c:marker>
          <c:dLbls>
            <c:dLbl>
              <c:idx val="0"/>
              <c:layout>
                <c:manualLayout>
                  <c:x val="2.2425836755411364E-17"/>
                  <c:y val="-3.240740740740732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7023088132950587E-3"/>
                  <c:y val="2.1993127147766325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8.5115440664752934E-3"/>
                  <c:y val="-4.83199393890196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4464992488394187E-3"/>
                  <c:y val="-4.180988716616608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023088132950587E-3"/>
                  <c:y val="-2.517174013042184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7023088132951834E-3"/>
                  <c:y val="-2.068544524717915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0"/>
                  <c:y val="-2.7491408934707903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5"/>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'C.3'!$M$7:$T$7</c:f>
              <c:strCache>
                <c:ptCount val="8"/>
                <c:pt idx="0">
                  <c:v>2007</c:v>
                </c:pt>
                <c:pt idx="1">
                  <c:v>2008</c:v>
                </c:pt>
                <c:pt idx="2">
                  <c:v>2009</c:v>
                </c:pt>
                <c:pt idx="3">
                  <c:v>2010</c:v>
                </c:pt>
                <c:pt idx="4">
                  <c:v>2011</c:v>
                </c:pt>
                <c:pt idx="5">
                  <c:v>2012</c:v>
                </c:pt>
                <c:pt idx="6">
                  <c:v>2013</c:v>
                </c:pt>
                <c:pt idx="7">
                  <c:v>2014p</c:v>
                </c:pt>
              </c:strCache>
            </c:strRef>
          </c:cat>
          <c:val>
            <c:numRef>
              <c:f>'C.3'!$M$12:$T$12</c:f>
              <c:numCache>
                <c:formatCode>0%</c:formatCode>
                <c:ptCount val="8"/>
                <c:pt idx="0">
                  <c:v>0</c:v>
                </c:pt>
                <c:pt idx="1">
                  <c:v>0</c:v>
                </c:pt>
                <c:pt idx="2">
                  <c:v>0.17110670448352183</c:v>
                </c:pt>
                <c:pt idx="3">
                  <c:v>0.179708949066781</c:v>
                </c:pt>
                <c:pt idx="4">
                  <c:v>0.19826777472239837</c:v>
                </c:pt>
                <c:pt idx="5">
                  <c:v>0.16263676813368044</c:v>
                </c:pt>
                <c:pt idx="6">
                  <c:v>0.13100856967164981</c:v>
                </c:pt>
                <c:pt idx="7">
                  <c:v>0.117913040335462</c:v>
                </c:pt>
              </c:numCache>
            </c:numRef>
          </c:val>
          <c:smooth val="1"/>
        </c:ser>
        <c:dLbls>
          <c:showLegendKey val="0"/>
          <c:showVal val="0"/>
          <c:showCatName val="0"/>
          <c:showSerName val="0"/>
          <c:showPercent val="0"/>
          <c:showBubbleSize val="0"/>
        </c:dLbls>
        <c:smooth val="0"/>
        <c:axId val="237651728"/>
        <c:axId val="237652288"/>
      </c:lineChart>
      <c:catAx>
        <c:axId val="237651728"/>
        <c:scaling>
          <c:orientation val="minMax"/>
        </c:scaling>
        <c:delete val="0"/>
        <c:axPos val="b"/>
        <c:numFmt formatCode="General" sourceLinked="1"/>
        <c:majorTickMark val="out"/>
        <c:minorTickMark val="none"/>
        <c:tickLblPos val="low"/>
        <c:txPr>
          <a:bodyPr/>
          <a:lstStyle/>
          <a:p>
            <a:pPr>
              <a:defRPr>
                <a:solidFill>
                  <a:sysClr val="windowText" lastClr="000000"/>
                </a:solidFill>
              </a:defRPr>
            </a:pPr>
            <a:endParaRPr lang="es-CL"/>
          </a:p>
        </c:txPr>
        <c:crossAx val="237652288"/>
        <c:crosses val="autoZero"/>
        <c:auto val="1"/>
        <c:lblAlgn val="ctr"/>
        <c:lblOffset val="100"/>
        <c:noMultiLvlLbl val="0"/>
      </c:catAx>
      <c:valAx>
        <c:axId val="237652288"/>
        <c:scaling>
          <c:orientation val="minMax"/>
        </c:scaling>
        <c:delete val="0"/>
        <c:axPos val="l"/>
        <c:majorGridlines/>
        <c:numFmt formatCode="0%" sourceLinked="1"/>
        <c:majorTickMark val="out"/>
        <c:minorTickMark val="none"/>
        <c:tickLblPos val="nextTo"/>
        <c:txPr>
          <a:bodyPr/>
          <a:lstStyle/>
          <a:p>
            <a:pPr>
              <a:defRPr>
                <a:solidFill>
                  <a:sysClr val="windowText" lastClr="000000"/>
                </a:solidFill>
              </a:defRPr>
            </a:pPr>
            <a:endParaRPr lang="es-CL"/>
          </a:p>
        </c:txPr>
        <c:crossAx val="237651728"/>
        <c:crosses val="autoZero"/>
        <c:crossBetween val="between"/>
      </c:valAx>
    </c:plotArea>
    <c:legend>
      <c:legendPos val="b"/>
      <c:overlay val="0"/>
      <c:txPr>
        <a:bodyPr/>
        <a:lstStyle/>
        <a:p>
          <a:pPr>
            <a:defRPr>
              <a:solidFill>
                <a:sysClr val="windowText" lastClr="000000"/>
              </a:solidFill>
            </a:defRPr>
          </a:pPr>
          <a:endParaRPr lang="es-CL"/>
        </a:p>
      </c:txPr>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5" Type="http://schemas.openxmlformats.org/officeDocument/2006/relationships/chart" Target="../charts/chart22.xml"/><Relationship Id="rId4"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1</xdr:col>
      <xdr:colOff>428625</xdr:colOff>
      <xdr:row>18</xdr:row>
      <xdr:rowOff>182095</xdr:rowOff>
    </xdr:from>
    <xdr:to>
      <xdr:col>4</xdr:col>
      <xdr:colOff>838200</xdr:colOff>
      <xdr:row>36</xdr:row>
      <xdr:rowOff>96370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179295</xdr:colOff>
      <xdr:row>19</xdr:row>
      <xdr:rowOff>16810</xdr:rowOff>
    </xdr:from>
    <xdr:to>
      <xdr:col>11</xdr:col>
      <xdr:colOff>674595</xdr:colOff>
      <xdr:row>36</xdr:row>
      <xdr:rowOff>150160</xdr:rowOff>
    </xdr:to>
    <xdr:graphicFrame macro="">
      <xdr:nvGraphicFramePr>
        <xdr:cNvPr id="3"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9</xdr:col>
      <xdr:colOff>581024</xdr:colOff>
      <xdr:row>1</xdr:row>
      <xdr:rowOff>133349</xdr:rowOff>
    </xdr:from>
    <xdr:to>
      <xdr:col>24</xdr:col>
      <xdr:colOff>95250</xdr:colOff>
      <xdr:row>30</xdr:row>
      <xdr:rowOff>66675</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352425</xdr:colOff>
      <xdr:row>32</xdr:row>
      <xdr:rowOff>171449</xdr:rowOff>
    </xdr:from>
    <xdr:to>
      <xdr:col>21</xdr:col>
      <xdr:colOff>695325</xdr:colOff>
      <xdr:row>48</xdr:row>
      <xdr:rowOff>85724</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333374</xdr:colOff>
      <xdr:row>32</xdr:row>
      <xdr:rowOff>28575</xdr:rowOff>
    </xdr:from>
    <xdr:to>
      <xdr:col>30</xdr:col>
      <xdr:colOff>209549</xdr:colOff>
      <xdr:row>49</xdr:row>
      <xdr:rowOff>38100</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419100</xdr:colOff>
      <xdr:row>50</xdr:row>
      <xdr:rowOff>133350</xdr:rowOff>
    </xdr:from>
    <xdr:to>
      <xdr:col>22</xdr:col>
      <xdr:colOff>76200</xdr:colOff>
      <xdr:row>67</xdr:row>
      <xdr:rowOff>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314324</xdr:colOff>
      <xdr:row>50</xdr:row>
      <xdr:rowOff>104775</xdr:rowOff>
    </xdr:from>
    <xdr:to>
      <xdr:col>30</xdr:col>
      <xdr:colOff>295275</xdr:colOff>
      <xdr:row>67</xdr:row>
      <xdr:rowOff>0</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699333</xdr:colOff>
      <xdr:row>26</xdr:row>
      <xdr:rowOff>79062</xdr:rowOff>
    </xdr:from>
    <xdr:to>
      <xdr:col>8</xdr:col>
      <xdr:colOff>299285</xdr:colOff>
      <xdr:row>59</xdr:row>
      <xdr:rowOff>145739</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323850</xdr:colOff>
      <xdr:row>15</xdr:row>
      <xdr:rowOff>152399</xdr:rowOff>
    </xdr:from>
    <xdr:to>
      <xdr:col>9</xdr:col>
      <xdr:colOff>19050</xdr:colOff>
      <xdr:row>34</xdr:row>
      <xdr:rowOff>171450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419099</xdr:colOff>
      <xdr:row>3</xdr:row>
      <xdr:rowOff>19048</xdr:rowOff>
    </xdr:from>
    <xdr:to>
      <xdr:col>21</xdr:col>
      <xdr:colOff>200025</xdr:colOff>
      <xdr:row>28</xdr:row>
      <xdr:rowOff>171449</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85724</xdr:colOff>
      <xdr:row>1</xdr:row>
      <xdr:rowOff>104773</xdr:rowOff>
    </xdr:from>
    <xdr:to>
      <xdr:col>24</xdr:col>
      <xdr:colOff>666750</xdr:colOff>
      <xdr:row>30</xdr:row>
      <xdr:rowOff>47624</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28575</xdr:colOff>
      <xdr:row>32</xdr:row>
      <xdr:rowOff>104775</xdr:rowOff>
    </xdr:from>
    <xdr:to>
      <xdr:col>24</xdr:col>
      <xdr:colOff>609601</xdr:colOff>
      <xdr:row>61</xdr:row>
      <xdr:rowOff>57151</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761999</xdr:colOff>
      <xdr:row>34</xdr:row>
      <xdr:rowOff>23811</xdr:rowOff>
    </xdr:from>
    <xdr:to>
      <xdr:col>10</xdr:col>
      <xdr:colOff>600075</xdr:colOff>
      <xdr:row>56</xdr:row>
      <xdr:rowOff>38100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2</xdr:col>
      <xdr:colOff>710141</xdr:colOff>
      <xdr:row>32</xdr:row>
      <xdr:rowOff>74082</xdr:rowOff>
    </xdr:from>
    <xdr:to>
      <xdr:col>9</xdr:col>
      <xdr:colOff>443442</xdr:colOff>
      <xdr:row>62</xdr:row>
      <xdr:rowOff>55033</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647699</xdr:colOff>
      <xdr:row>52</xdr:row>
      <xdr:rowOff>71436</xdr:rowOff>
    </xdr:from>
    <xdr:to>
      <xdr:col>7</xdr:col>
      <xdr:colOff>152399</xdr:colOff>
      <xdr:row>76</xdr:row>
      <xdr:rowOff>57149</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1866900</xdr:colOff>
      <xdr:row>51</xdr:row>
      <xdr:rowOff>19050</xdr:rowOff>
    </xdr:from>
    <xdr:to>
      <xdr:col>12</xdr:col>
      <xdr:colOff>95250</xdr:colOff>
      <xdr:row>81</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8</xdr:col>
      <xdr:colOff>723900</xdr:colOff>
      <xdr:row>4</xdr:row>
      <xdr:rowOff>76200</xdr:rowOff>
    </xdr:from>
    <xdr:to>
      <xdr:col>16</xdr:col>
      <xdr:colOff>57151</xdr:colOff>
      <xdr:row>23</xdr:row>
      <xdr:rowOff>133350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114299</xdr:colOff>
      <xdr:row>25</xdr:row>
      <xdr:rowOff>19049</xdr:rowOff>
    </xdr:from>
    <xdr:to>
      <xdr:col>17</xdr:col>
      <xdr:colOff>714374</xdr:colOff>
      <xdr:row>49</xdr:row>
      <xdr:rowOff>142874</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9522</xdr:colOff>
      <xdr:row>1</xdr:row>
      <xdr:rowOff>76197</xdr:rowOff>
    </xdr:from>
    <xdr:to>
      <xdr:col>17</xdr:col>
      <xdr:colOff>66675</xdr:colOff>
      <xdr:row>33</xdr:row>
      <xdr:rowOff>47624</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133349</xdr:colOff>
      <xdr:row>34</xdr:row>
      <xdr:rowOff>104774</xdr:rowOff>
    </xdr:from>
    <xdr:to>
      <xdr:col>17</xdr:col>
      <xdr:colOff>276224</xdr:colOff>
      <xdr:row>63</xdr:row>
      <xdr:rowOff>142874</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47625</xdr:colOff>
      <xdr:row>4</xdr:row>
      <xdr:rowOff>0</xdr:rowOff>
    </xdr:from>
    <xdr:to>
      <xdr:col>14</xdr:col>
      <xdr:colOff>514350</xdr:colOff>
      <xdr:row>36</xdr:row>
      <xdr:rowOff>85725</xdr:rowOff>
    </xdr:to>
    <xdr:graphicFrame macro="">
      <xdr:nvGraphicFramePr>
        <xdr:cNvPr id="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200023</xdr:colOff>
      <xdr:row>13</xdr:row>
      <xdr:rowOff>47623</xdr:rowOff>
    </xdr:from>
    <xdr:to>
      <xdr:col>7</xdr:col>
      <xdr:colOff>219075</xdr:colOff>
      <xdr:row>39</xdr:row>
      <xdr:rowOff>9524</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7</xdr:col>
      <xdr:colOff>285749</xdr:colOff>
      <xdr:row>23</xdr:row>
      <xdr:rowOff>57150</xdr:rowOff>
    </xdr:from>
    <xdr:to>
      <xdr:col>12</xdr:col>
      <xdr:colOff>142874</xdr:colOff>
      <xdr:row>39</xdr:row>
      <xdr:rowOff>152400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219075</xdr:colOff>
      <xdr:row>42</xdr:row>
      <xdr:rowOff>180974</xdr:rowOff>
    </xdr:from>
    <xdr:to>
      <xdr:col>12</xdr:col>
      <xdr:colOff>76200</xdr:colOff>
      <xdr:row>58</xdr:row>
      <xdr:rowOff>190499</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8</xdr:col>
      <xdr:colOff>752474</xdr:colOff>
      <xdr:row>22</xdr:row>
      <xdr:rowOff>9525</xdr:rowOff>
    </xdr:from>
    <xdr:to>
      <xdr:col>16</xdr:col>
      <xdr:colOff>161925</xdr:colOff>
      <xdr:row>41</xdr:row>
      <xdr:rowOff>161925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43</xdr:row>
      <xdr:rowOff>0</xdr:rowOff>
    </xdr:from>
    <xdr:to>
      <xdr:col>16</xdr:col>
      <xdr:colOff>171451</xdr:colOff>
      <xdr:row>63</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9</xdr:col>
      <xdr:colOff>38099</xdr:colOff>
      <xdr:row>22</xdr:row>
      <xdr:rowOff>28575</xdr:rowOff>
    </xdr:from>
    <xdr:to>
      <xdr:col>16</xdr:col>
      <xdr:colOff>695324</xdr:colOff>
      <xdr:row>44</xdr:row>
      <xdr:rowOff>114300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46</xdr:row>
      <xdr:rowOff>152400</xdr:rowOff>
    </xdr:from>
    <xdr:to>
      <xdr:col>16</xdr:col>
      <xdr:colOff>657225</xdr:colOff>
      <xdr:row>69</xdr:row>
      <xdr:rowOff>85725</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8</xdr:col>
      <xdr:colOff>9521</xdr:colOff>
      <xdr:row>5</xdr:row>
      <xdr:rowOff>9523</xdr:rowOff>
    </xdr:from>
    <xdr:to>
      <xdr:col>19</xdr:col>
      <xdr:colOff>85724</xdr:colOff>
      <xdr:row>37</xdr:row>
      <xdr:rowOff>38100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39</xdr:row>
      <xdr:rowOff>0</xdr:rowOff>
    </xdr:from>
    <xdr:to>
      <xdr:col>19</xdr:col>
      <xdr:colOff>76203</xdr:colOff>
      <xdr:row>69</xdr:row>
      <xdr:rowOff>57152</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411692</xdr:colOff>
      <xdr:row>1</xdr:row>
      <xdr:rowOff>52916</xdr:rowOff>
    </xdr:from>
    <xdr:to>
      <xdr:col>16</xdr:col>
      <xdr:colOff>201083</xdr:colOff>
      <xdr:row>37</xdr:row>
      <xdr:rowOff>158750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486835</xdr:colOff>
      <xdr:row>33</xdr:row>
      <xdr:rowOff>148166</xdr:rowOff>
    </xdr:from>
    <xdr:to>
      <xdr:col>8</xdr:col>
      <xdr:colOff>137585</xdr:colOff>
      <xdr:row>34</xdr:row>
      <xdr:rowOff>169332</xdr:rowOff>
    </xdr:to>
    <xdr:sp macro="" textlink="">
      <xdr:nvSpPr>
        <xdr:cNvPr id="2" name="CuadroTexto 1"/>
        <xdr:cNvSpPr txBox="1"/>
      </xdr:nvSpPr>
      <xdr:spPr>
        <a:xfrm>
          <a:off x="7937502" y="6826249"/>
          <a:ext cx="412750" cy="211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chemeClr val="accent6"/>
              </a:solidFill>
            </a:rPr>
            <a:t>3,0</a:t>
          </a:r>
        </a:p>
      </xdr:txBody>
    </xdr:sp>
    <xdr:clientData/>
  </xdr:twoCellAnchor>
  <xdr:twoCellAnchor>
    <xdr:from>
      <xdr:col>10</xdr:col>
      <xdr:colOff>211666</xdr:colOff>
      <xdr:row>18</xdr:row>
      <xdr:rowOff>148167</xdr:rowOff>
    </xdr:from>
    <xdr:to>
      <xdr:col>11</xdr:col>
      <xdr:colOff>21166</xdr:colOff>
      <xdr:row>20</xdr:row>
      <xdr:rowOff>116417</xdr:rowOff>
    </xdr:to>
    <xdr:sp macro="" textlink="">
      <xdr:nvSpPr>
        <xdr:cNvPr id="4" name="CuadroTexto 3"/>
        <xdr:cNvSpPr txBox="1"/>
      </xdr:nvSpPr>
      <xdr:spPr>
        <a:xfrm>
          <a:off x="10456333" y="3968750"/>
          <a:ext cx="571500" cy="349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chemeClr val="accent6"/>
              </a:solidFill>
            </a:rPr>
            <a:t>11,2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583406</xdr:colOff>
      <xdr:row>30</xdr:row>
      <xdr:rowOff>154781</xdr:rowOff>
    </xdr:from>
    <xdr:to>
      <xdr:col>13</xdr:col>
      <xdr:colOff>400051</xdr:colOff>
      <xdr:row>44</xdr:row>
      <xdr:rowOff>88106</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914399</xdr:colOff>
      <xdr:row>26</xdr:row>
      <xdr:rowOff>38099</xdr:rowOff>
    </xdr:from>
    <xdr:to>
      <xdr:col>22</xdr:col>
      <xdr:colOff>619124</xdr:colOff>
      <xdr:row>54</xdr:row>
      <xdr:rowOff>19050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19050</xdr:colOff>
      <xdr:row>27</xdr:row>
      <xdr:rowOff>57150</xdr:rowOff>
    </xdr:from>
    <xdr:to>
      <xdr:col>31</xdr:col>
      <xdr:colOff>19050</xdr:colOff>
      <xdr:row>46</xdr:row>
      <xdr:rowOff>57150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511969</xdr:colOff>
      <xdr:row>14</xdr:row>
      <xdr:rowOff>90487</xdr:rowOff>
    </xdr:from>
    <xdr:to>
      <xdr:col>8</xdr:col>
      <xdr:colOff>738187</xdr:colOff>
      <xdr:row>40</xdr:row>
      <xdr:rowOff>-1</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285750</xdr:colOff>
      <xdr:row>14</xdr:row>
      <xdr:rowOff>85725</xdr:rowOff>
    </xdr:from>
    <xdr:to>
      <xdr:col>18</xdr:col>
      <xdr:colOff>590550</xdr:colOff>
      <xdr:row>38</xdr:row>
      <xdr:rowOff>133350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752474</xdr:colOff>
      <xdr:row>14</xdr:row>
      <xdr:rowOff>161924</xdr:rowOff>
    </xdr:from>
    <xdr:to>
      <xdr:col>9</xdr:col>
      <xdr:colOff>152400</xdr:colOff>
      <xdr:row>39</xdr:row>
      <xdr:rowOff>76199</xdr:rowOff>
    </xdr:to>
    <xdr:graphicFrame macro="">
      <xdr:nvGraphicFramePr>
        <xdr:cNvPr id="5"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352425</xdr:colOff>
      <xdr:row>15</xdr:row>
      <xdr:rowOff>19050</xdr:rowOff>
    </xdr:from>
    <xdr:to>
      <xdr:col>18</xdr:col>
      <xdr:colOff>123826</xdr:colOff>
      <xdr:row>39</xdr:row>
      <xdr:rowOff>123825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45507</xdr:colOff>
      <xdr:row>32</xdr:row>
      <xdr:rowOff>11111</xdr:rowOff>
    </xdr:from>
    <xdr:to>
      <xdr:col>3</xdr:col>
      <xdr:colOff>661457</xdr:colOff>
      <xdr:row>52</xdr:row>
      <xdr:rowOff>187324</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647700</xdr:colOff>
      <xdr:row>4</xdr:row>
      <xdr:rowOff>180975</xdr:rowOff>
    </xdr:from>
    <xdr:to>
      <xdr:col>19</xdr:col>
      <xdr:colOff>114299</xdr:colOff>
      <xdr:row>34</xdr:row>
      <xdr:rowOff>152399</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476251</xdr:colOff>
      <xdr:row>4</xdr:row>
      <xdr:rowOff>76198</xdr:rowOff>
    </xdr:from>
    <xdr:to>
      <xdr:col>29</xdr:col>
      <xdr:colOff>533401</xdr:colOff>
      <xdr:row>34</xdr:row>
      <xdr:rowOff>19050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800098</xdr:colOff>
      <xdr:row>36</xdr:row>
      <xdr:rowOff>133348</xdr:rowOff>
    </xdr:from>
    <xdr:to>
      <xdr:col>15</xdr:col>
      <xdr:colOff>76200</xdr:colOff>
      <xdr:row>55</xdr:row>
      <xdr:rowOff>123825</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1</xdr:colOff>
      <xdr:row>6</xdr:row>
      <xdr:rowOff>66676</xdr:rowOff>
    </xdr:from>
    <xdr:to>
      <xdr:col>25</xdr:col>
      <xdr:colOff>657225</xdr:colOff>
      <xdr:row>46</xdr:row>
      <xdr:rowOff>28576</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190499</xdr:colOff>
      <xdr:row>9</xdr:row>
      <xdr:rowOff>161922</xdr:rowOff>
    </xdr:from>
    <xdr:to>
      <xdr:col>37</xdr:col>
      <xdr:colOff>323850</xdr:colOff>
      <xdr:row>43</xdr:row>
      <xdr:rowOff>171450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artner/AppData/Local/Microsoft/Windows/Temporary%20Internet%20Files/Content.Outlook/GQMVMLBM/FINAL_%20CQ_EXP_CH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Settings"/>
      <sheetName val="Templates"/>
      <sheetName val="HiddenErrors"/>
      <sheetName val="Settings"/>
      <sheetName val="List of tables"/>
      <sheetName val="CE10sample"/>
      <sheetName val="CE10ISIC4NACE2sample"/>
      <sheetName val="CE11sample"/>
      <sheetName val="CE11ISIC4NACE2sample"/>
      <sheetName val="FLAGS"/>
      <sheetName val="Explanatory notes"/>
      <sheetName val="CE1"/>
      <sheetName val="CE2"/>
      <sheetName val="CE3"/>
      <sheetName val="CE4.1"/>
      <sheetName val="CE4.2"/>
      <sheetName val="CE5"/>
      <sheetName val="CE6"/>
      <sheetName val="CE7"/>
      <sheetName val="CE8.1-ISIC3.1-NACE1.1"/>
      <sheetName val="CE8.1-ISIC4-NACE2"/>
      <sheetName val="CE8.2-ISIC3.1-NACE1.1"/>
      <sheetName val="CE8.2-ISIC4-NACE2"/>
      <sheetName val="CE9-ISIC3.1-NACE1.1"/>
      <sheetName val="CE9-ISIC4-NACE2"/>
      <sheetName val="CE10-ISIC3.1-NACE1.1_2009"/>
      <sheetName val="CE10-ISIC3.1-NACE1.1_2010"/>
      <sheetName val="CE10-ISIC3.1-NACE1.1_2011"/>
      <sheetName val="CE10-ISIC3.1-NACE1.1_2012"/>
      <sheetName val="CE10-ISIC4-NACE2_2009"/>
      <sheetName val="CE10-ISIC4-NACE2_2010"/>
      <sheetName val="CE10-ISIC4-NACE2_2011"/>
      <sheetName val="CE10-ISIC4-NACE2_2012"/>
      <sheetName val="CE11-ISIC3.1-NACE1.1_2009"/>
      <sheetName val="CE11-ISIC3.1-NACE1.1_2010"/>
      <sheetName val="CE11-ISIC3.1-NACE1.1_2011"/>
      <sheetName val="CE11-ISIC3.1-NACE1.1_2012"/>
      <sheetName val="CE11-ISIC4-NACE2_2009"/>
      <sheetName val="CE11-ISIC4-NACE2_2010"/>
      <sheetName val="CE11-ISIC4-NACE2_2011"/>
      <sheetName val="CE11-ISIC4-NACE2_2012"/>
      <sheetName val="CE12"/>
      <sheetName val="CE13"/>
    </sheetNames>
    <sheetDataSet>
      <sheetData sheetId="0">
        <row r="4">
          <cell r="B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J56"/>
  <sheetViews>
    <sheetView tabSelected="1" zoomScale="90" zoomScaleNormal="90" workbookViewId="0">
      <selection sqref="A1:D1"/>
    </sheetView>
  </sheetViews>
  <sheetFormatPr baseColWidth="10" defaultRowHeight="15" x14ac:dyDescent="0.25"/>
  <cols>
    <col min="1" max="1" width="15.7109375" style="57" customWidth="1"/>
    <col min="2" max="2" width="3.42578125" style="54" customWidth="1"/>
    <col min="4" max="4" width="102" bestFit="1" customWidth="1"/>
    <col min="5" max="5" width="10.42578125" customWidth="1"/>
  </cols>
  <sheetData>
    <row r="1" spans="1:10" x14ac:dyDescent="0.25">
      <c r="A1" s="642" t="s">
        <v>132</v>
      </c>
      <c r="B1" s="642"/>
      <c r="C1" s="642"/>
      <c r="D1" s="642"/>
      <c r="E1" s="204"/>
    </row>
    <row r="2" spans="1:10" s="64" customFormat="1" ht="15" customHeight="1" x14ac:dyDescent="0.25">
      <c r="A2" s="217"/>
      <c r="B2" s="217"/>
      <c r="C2" s="217"/>
      <c r="D2" s="217"/>
      <c r="E2" s="142"/>
      <c r="F2" s="142"/>
      <c r="G2" s="142"/>
      <c r="H2" s="142"/>
    </row>
    <row r="3" spans="1:10" x14ac:dyDescent="0.25">
      <c r="A3" s="218" t="s">
        <v>133</v>
      </c>
      <c r="B3" s="219" t="s">
        <v>156</v>
      </c>
      <c r="C3" s="220"/>
      <c r="D3" s="220"/>
      <c r="E3" s="142"/>
      <c r="F3" s="142"/>
      <c r="G3" s="142"/>
      <c r="H3" s="142"/>
    </row>
    <row r="4" spans="1:10" s="64" customFormat="1" x14ac:dyDescent="0.25">
      <c r="A4" s="218" t="s">
        <v>76</v>
      </c>
      <c r="B4" s="219" t="s">
        <v>260</v>
      </c>
      <c r="C4" s="220"/>
      <c r="D4" s="220"/>
      <c r="E4" s="204"/>
      <c r="F4" s="121"/>
      <c r="G4" s="121"/>
    </row>
    <row r="5" spans="1:10" s="64" customFormat="1" x14ac:dyDescent="0.25">
      <c r="A5" s="218"/>
      <c r="B5" s="219"/>
      <c r="C5" s="221" t="s">
        <v>240</v>
      </c>
      <c r="D5" s="221" t="s">
        <v>406</v>
      </c>
      <c r="E5" s="204"/>
      <c r="F5" s="121"/>
      <c r="G5" s="121"/>
    </row>
    <row r="6" spans="1:10" s="64" customFormat="1" x14ac:dyDescent="0.25">
      <c r="A6" s="218"/>
      <c r="B6" s="219"/>
      <c r="C6" s="221" t="s">
        <v>241</v>
      </c>
      <c r="D6" s="221" t="s">
        <v>448</v>
      </c>
      <c r="E6" s="204"/>
      <c r="F6" s="121"/>
      <c r="G6" s="121"/>
    </row>
    <row r="7" spans="1:10" s="64" customFormat="1" x14ac:dyDescent="0.25">
      <c r="A7" s="218"/>
      <c r="B7" s="219"/>
      <c r="C7" s="221" t="s">
        <v>242</v>
      </c>
      <c r="D7" s="221" t="s">
        <v>449</v>
      </c>
      <c r="E7" s="204"/>
    </row>
    <row r="8" spans="1:10" s="64" customFormat="1" x14ac:dyDescent="0.25">
      <c r="A8" s="218"/>
      <c r="B8" s="219"/>
      <c r="C8" s="221"/>
      <c r="D8" s="221"/>
      <c r="E8" s="204"/>
    </row>
    <row r="9" spans="1:10" x14ac:dyDescent="0.25">
      <c r="A9" s="218" t="s">
        <v>106</v>
      </c>
      <c r="B9" s="219" t="s">
        <v>270</v>
      </c>
      <c r="C9" s="220"/>
      <c r="D9" s="220"/>
      <c r="E9" s="204"/>
      <c r="G9" s="121"/>
      <c r="H9" s="121"/>
      <c r="I9" s="121"/>
      <c r="J9" s="121"/>
    </row>
    <row r="10" spans="1:10" s="54" customFormat="1" x14ac:dyDescent="0.25">
      <c r="A10" s="222"/>
      <c r="B10" s="220"/>
      <c r="C10" s="221" t="s">
        <v>134</v>
      </c>
      <c r="D10" s="221" t="s">
        <v>450</v>
      </c>
      <c r="E10" s="204"/>
      <c r="F10" s="121"/>
      <c r="G10" s="121"/>
      <c r="H10" s="121"/>
      <c r="I10" s="121"/>
      <c r="J10" s="121"/>
    </row>
    <row r="11" spans="1:10" s="64" customFormat="1" x14ac:dyDescent="0.25">
      <c r="A11" s="222"/>
      <c r="B11" s="220"/>
      <c r="C11" s="221" t="s">
        <v>232</v>
      </c>
      <c r="D11" s="221" t="s">
        <v>451</v>
      </c>
      <c r="E11" s="204"/>
      <c r="F11" s="121"/>
    </row>
    <row r="12" spans="1:10" s="64" customFormat="1" x14ac:dyDescent="0.25">
      <c r="A12" s="222"/>
      <c r="B12" s="220"/>
      <c r="C12" s="221"/>
      <c r="D12" s="221"/>
      <c r="E12" s="204"/>
    </row>
    <row r="13" spans="1:10" x14ac:dyDescent="0.25">
      <c r="A13" s="218" t="s">
        <v>107</v>
      </c>
      <c r="B13" s="219" t="s">
        <v>155</v>
      </c>
      <c r="C13" s="220"/>
      <c r="D13" s="220"/>
      <c r="E13" s="204"/>
    </row>
    <row r="14" spans="1:10" s="54" customFormat="1" x14ac:dyDescent="0.25">
      <c r="A14" s="222"/>
      <c r="B14" s="220"/>
      <c r="C14" s="221" t="s">
        <v>135</v>
      </c>
      <c r="D14" s="221" t="s">
        <v>452</v>
      </c>
      <c r="E14" s="204"/>
      <c r="G14" s="121"/>
      <c r="H14" s="121"/>
    </row>
    <row r="15" spans="1:10" x14ac:dyDescent="0.25">
      <c r="A15" s="222"/>
      <c r="B15" s="220"/>
      <c r="C15" s="221" t="s">
        <v>136</v>
      </c>
      <c r="D15" s="221" t="s">
        <v>453</v>
      </c>
      <c r="E15" s="204"/>
    </row>
    <row r="16" spans="1:10" x14ac:dyDescent="0.25">
      <c r="A16" s="222"/>
      <c r="B16" s="220"/>
      <c r="C16" s="221" t="s">
        <v>137</v>
      </c>
      <c r="D16" s="221" t="s">
        <v>243</v>
      </c>
      <c r="E16" s="204"/>
    </row>
    <row r="17" spans="1:10" x14ac:dyDescent="0.25">
      <c r="A17" s="222"/>
      <c r="B17" s="220"/>
      <c r="C17" s="221" t="s">
        <v>138</v>
      </c>
      <c r="D17" s="221" t="s">
        <v>274</v>
      </c>
      <c r="E17" s="204"/>
    </row>
    <row r="18" spans="1:10" x14ac:dyDescent="0.25">
      <c r="A18" s="222"/>
      <c r="B18" s="220"/>
      <c r="C18" s="221" t="s">
        <v>139</v>
      </c>
      <c r="D18" s="221" t="s">
        <v>454</v>
      </c>
      <c r="E18" s="204"/>
    </row>
    <row r="19" spans="1:10" x14ac:dyDescent="0.25">
      <c r="A19" s="222"/>
      <c r="B19" s="220"/>
      <c r="C19" s="221" t="s">
        <v>140</v>
      </c>
      <c r="D19" s="221" t="s">
        <v>455</v>
      </c>
      <c r="E19" s="204"/>
    </row>
    <row r="20" spans="1:10" x14ac:dyDescent="0.25">
      <c r="A20" s="222"/>
      <c r="B20" s="220"/>
      <c r="C20" s="221" t="s">
        <v>141</v>
      </c>
      <c r="D20" s="221" t="s">
        <v>456</v>
      </c>
      <c r="E20" s="204"/>
    </row>
    <row r="21" spans="1:10" s="54" customFormat="1" x14ac:dyDescent="0.25">
      <c r="A21" s="222"/>
      <c r="B21" s="220"/>
      <c r="C21" s="221" t="s">
        <v>158</v>
      </c>
      <c r="D21" s="221" t="s">
        <v>154</v>
      </c>
      <c r="E21" s="204"/>
    </row>
    <row r="22" spans="1:10" s="63" customFormat="1" x14ac:dyDescent="0.25">
      <c r="A22" s="222"/>
      <c r="B22" s="220"/>
      <c r="C22" s="221" t="s">
        <v>172</v>
      </c>
      <c r="D22" s="221" t="s">
        <v>153</v>
      </c>
      <c r="E22" s="204"/>
    </row>
    <row r="23" spans="1:10" s="64" customFormat="1" x14ac:dyDescent="0.25">
      <c r="A23" s="222"/>
      <c r="B23" s="220"/>
      <c r="C23" s="221" t="s">
        <v>247</v>
      </c>
      <c r="D23" s="221" t="s">
        <v>151</v>
      </c>
      <c r="E23" s="204"/>
      <c r="F23" s="121"/>
      <c r="G23" s="121"/>
      <c r="H23" s="121"/>
      <c r="I23" s="121"/>
      <c r="J23" s="121"/>
    </row>
    <row r="24" spans="1:10" s="64" customFormat="1" x14ac:dyDescent="0.25">
      <c r="A24" s="222"/>
      <c r="B24" s="220"/>
      <c r="C24" s="221" t="s">
        <v>248</v>
      </c>
      <c r="D24" s="221" t="s">
        <v>173</v>
      </c>
      <c r="E24" s="204"/>
    </row>
    <row r="25" spans="1:10" s="64" customFormat="1" x14ac:dyDescent="0.25">
      <c r="A25" s="222"/>
      <c r="B25" s="220"/>
      <c r="C25" s="221" t="s">
        <v>249</v>
      </c>
      <c r="D25" s="221" t="s">
        <v>152</v>
      </c>
      <c r="E25" s="204"/>
      <c r="F25" s="121"/>
      <c r="G25" s="121"/>
    </row>
    <row r="26" spans="1:10" s="64" customFormat="1" x14ac:dyDescent="0.25">
      <c r="A26" s="222"/>
      <c r="B26" s="220"/>
      <c r="C26" s="221" t="s">
        <v>250</v>
      </c>
      <c r="D26" s="221" t="s">
        <v>288</v>
      </c>
      <c r="E26" s="204"/>
      <c r="F26" s="121"/>
      <c r="G26" s="121"/>
      <c r="H26" s="121"/>
      <c r="I26" s="121"/>
    </row>
    <row r="27" spans="1:10" s="64" customFormat="1" ht="15" customHeight="1" x14ac:dyDescent="0.25">
      <c r="A27" s="222"/>
      <c r="B27" s="220"/>
      <c r="C27" s="221" t="s">
        <v>251</v>
      </c>
      <c r="D27" s="221" t="s">
        <v>266</v>
      </c>
      <c r="E27" s="204"/>
      <c r="F27" s="121"/>
      <c r="G27" s="121"/>
      <c r="H27" s="121"/>
      <c r="I27" s="121"/>
    </row>
    <row r="28" spans="1:10" s="119" customFormat="1" ht="15" customHeight="1" x14ac:dyDescent="0.25">
      <c r="A28" s="222"/>
      <c r="B28" s="220"/>
      <c r="C28" s="221" t="s">
        <v>252</v>
      </c>
      <c r="D28" s="221" t="s">
        <v>171</v>
      </c>
      <c r="E28" s="204"/>
      <c r="F28" s="121"/>
      <c r="G28" s="121"/>
      <c r="H28" s="121"/>
      <c r="I28" s="121"/>
    </row>
    <row r="29" spans="1:10" s="119" customFormat="1" ht="15" customHeight="1" x14ac:dyDescent="0.25">
      <c r="A29" s="222"/>
      <c r="B29" s="220"/>
      <c r="C29" s="221" t="s">
        <v>253</v>
      </c>
      <c r="D29" s="221" t="s">
        <v>430</v>
      </c>
      <c r="E29" s="204"/>
      <c r="F29" s="121"/>
      <c r="G29" s="121"/>
      <c r="H29" s="121"/>
      <c r="I29" s="121"/>
    </row>
    <row r="30" spans="1:10" s="119" customFormat="1" ht="15" customHeight="1" x14ac:dyDescent="0.25">
      <c r="A30" s="222"/>
      <c r="B30" s="220"/>
      <c r="C30" s="221" t="s">
        <v>289</v>
      </c>
      <c r="D30" s="221" t="s">
        <v>457</v>
      </c>
      <c r="E30" s="204"/>
      <c r="F30" s="121"/>
      <c r="G30" s="121"/>
      <c r="H30" s="121"/>
      <c r="I30" s="121"/>
    </row>
    <row r="31" spans="1:10" s="119" customFormat="1" ht="15" customHeight="1" x14ac:dyDescent="0.25">
      <c r="A31" s="222"/>
      <c r="B31" s="220"/>
      <c r="C31" s="221"/>
      <c r="D31" s="221"/>
      <c r="E31" s="204"/>
      <c r="F31" s="121"/>
      <c r="G31" s="121"/>
      <c r="H31" s="121"/>
      <c r="I31" s="121"/>
    </row>
    <row r="32" spans="1:10" x14ac:dyDescent="0.25">
      <c r="A32" s="218" t="s">
        <v>108</v>
      </c>
      <c r="B32" s="219" t="s">
        <v>414</v>
      </c>
      <c r="C32" s="220"/>
      <c r="D32" s="220"/>
      <c r="E32" s="204"/>
      <c r="F32" s="72"/>
      <c r="G32" s="121"/>
      <c r="H32" s="72"/>
      <c r="I32" s="72"/>
    </row>
    <row r="33" spans="1:9" x14ac:dyDescent="0.25">
      <c r="A33" s="222"/>
      <c r="B33" s="220"/>
      <c r="C33" s="221" t="s">
        <v>142</v>
      </c>
      <c r="D33" s="221" t="s">
        <v>374</v>
      </c>
      <c r="E33" s="204"/>
      <c r="G33" s="121"/>
    </row>
    <row r="34" spans="1:9" x14ac:dyDescent="0.25">
      <c r="A34" s="222"/>
      <c r="B34" s="220"/>
      <c r="C34" s="221" t="s">
        <v>143</v>
      </c>
      <c r="D34" s="221" t="s">
        <v>412</v>
      </c>
      <c r="E34" s="204"/>
      <c r="F34" s="204"/>
      <c r="G34" s="121"/>
    </row>
    <row r="35" spans="1:9" x14ac:dyDescent="0.25">
      <c r="A35" s="222"/>
      <c r="B35" s="220"/>
      <c r="C35" s="221" t="s">
        <v>144</v>
      </c>
      <c r="D35" s="221" t="s">
        <v>375</v>
      </c>
      <c r="E35" s="204"/>
      <c r="F35" s="204"/>
      <c r="G35" s="121"/>
    </row>
    <row r="36" spans="1:9" s="103" customFormat="1" x14ac:dyDescent="0.25">
      <c r="A36" s="223"/>
      <c r="B36" s="631"/>
      <c r="C36" s="221" t="s">
        <v>145</v>
      </c>
      <c r="D36" s="221" t="s">
        <v>416</v>
      </c>
      <c r="E36" s="204"/>
      <c r="F36" s="204"/>
    </row>
    <row r="37" spans="1:9" x14ac:dyDescent="0.25">
      <c r="A37" s="222"/>
      <c r="B37" s="220"/>
      <c r="C37" s="221" t="s">
        <v>146</v>
      </c>
      <c r="D37" s="221" t="s">
        <v>458</v>
      </c>
      <c r="E37" s="204"/>
      <c r="F37" s="204"/>
      <c r="G37" s="121"/>
    </row>
    <row r="38" spans="1:9" ht="15" customHeight="1" x14ac:dyDescent="0.25">
      <c r="A38" s="222"/>
      <c r="B38" s="220"/>
      <c r="C38" s="221" t="s">
        <v>147</v>
      </c>
      <c r="D38" s="221" t="s">
        <v>459</v>
      </c>
      <c r="E38" s="204"/>
      <c r="F38" s="204"/>
      <c r="G38" s="104"/>
      <c r="H38" s="104"/>
      <c r="I38" s="104"/>
    </row>
    <row r="39" spans="1:9" x14ac:dyDescent="0.25">
      <c r="A39" s="222"/>
      <c r="B39" s="220"/>
      <c r="C39" s="221" t="s">
        <v>148</v>
      </c>
      <c r="D39" s="221" t="s">
        <v>460</v>
      </c>
      <c r="E39" s="204"/>
      <c r="F39" s="104"/>
      <c r="G39" s="104"/>
      <c r="H39" s="104"/>
      <c r="I39" s="104"/>
    </row>
    <row r="40" spans="1:9" x14ac:dyDescent="0.25">
      <c r="A40" s="222"/>
      <c r="B40" s="220"/>
      <c r="C40" s="221" t="s">
        <v>149</v>
      </c>
      <c r="D40" s="221" t="s">
        <v>461</v>
      </c>
      <c r="E40" s="204"/>
      <c r="F40" s="104"/>
      <c r="G40" s="104"/>
      <c r="H40" s="104"/>
      <c r="I40" s="104"/>
    </row>
    <row r="41" spans="1:9" x14ac:dyDescent="0.25">
      <c r="A41" s="222"/>
      <c r="B41" s="220"/>
      <c r="C41" s="221" t="s">
        <v>150</v>
      </c>
      <c r="D41" s="221" t="s">
        <v>462</v>
      </c>
      <c r="E41" s="204"/>
    </row>
    <row r="42" spans="1:9" x14ac:dyDescent="0.25">
      <c r="A42" s="222"/>
      <c r="B42" s="220"/>
      <c r="C42" s="221" t="s">
        <v>246</v>
      </c>
      <c r="D42" s="221" t="s">
        <v>463</v>
      </c>
      <c r="E42" s="204"/>
    </row>
    <row r="43" spans="1:9" s="64" customFormat="1" x14ac:dyDescent="0.25">
      <c r="A43" s="222"/>
      <c r="B43" s="220"/>
      <c r="C43" s="221" t="s">
        <v>420</v>
      </c>
      <c r="D43" s="221" t="s">
        <v>464</v>
      </c>
      <c r="E43" s="204"/>
    </row>
    <row r="44" spans="1:9" s="121" customFormat="1" x14ac:dyDescent="0.25">
      <c r="A44" s="222"/>
      <c r="B44" s="220"/>
      <c r="C44" s="221" t="s">
        <v>421</v>
      </c>
      <c r="D44" s="221" t="s">
        <v>428</v>
      </c>
      <c r="E44" s="204"/>
    </row>
    <row r="45" spans="1:9" s="121" customFormat="1" x14ac:dyDescent="0.25">
      <c r="A45" s="222"/>
      <c r="B45" s="220"/>
      <c r="C45" s="221"/>
      <c r="D45" s="221"/>
      <c r="E45" s="204"/>
    </row>
    <row r="46" spans="1:9" x14ac:dyDescent="0.25">
      <c r="A46" s="218" t="s">
        <v>262</v>
      </c>
      <c r="B46" s="220"/>
      <c r="C46" s="220"/>
      <c r="D46" s="220"/>
      <c r="E46" s="204"/>
    </row>
    <row r="47" spans="1:9" x14ac:dyDescent="0.25">
      <c r="A47" s="222"/>
      <c r="B47" s="220"/>
      <c r="C47" s="221" t="s">
        <v>432</v>
      </c>
      <c r="D47" s="224" t="s">
        <v>302</v>
      </c>
      <c r="E47" s="204"/>
    </row>
    <row r="48" spans="1:9" s="121" customFormat="1" x14ac:dyDescent="0.25">
      <c r="A48" s="222"/>
      <c r="B48" s="220"/>
      <c r="C48" s="221" t="s">
        <v>433</v>
      </c>
      <c r="D48" s="224" t="s">
        <v>365</v>
      </c>
      <c r="E48" s="204"/>
    </row>
    <row r="49" spans="1:4" x14ac:dyDescent="0.25">
      <c r="A49" s="222"/>
      <c r="B49" s="220"/>
      <c r="C49" s="220"/>
      <c r="D49" s="220"/>
    </row>
    <row r="50" spans="1:4" s="64" customFormat="1" x14ac:dyDescent="0.25">
      <c r="A50" s="217" t="s">
        <v>261</v>
      </c>
      <c r="B50" s="643" t="s">
        <v>571</v>
      </c>
      <c r="C50" s="643"/>
      <c r="D50" s="643"/>
    </row>
    <row r="51" spans="1:4" s="64" customFormat="1" x14ac:dyDescent="0.25">
      <c r="A51" s="218"/>
      <c r="B51" s="643"/>
      <c r="C51" s="643"/>
      <c r="D51" s="643"/>
    </row>
    <row r="52" spans="1:4" s="204" customFormat="1" x14ac:dyDescent="0.25">
      <c r="A52" s="218"/>
      <c r="B52" s="225"/>
      <c r="C52" s="217"/>
      <c r="D52" s="217"/>
    </row>
    <row r="53" spans="1:4" x14ac:dyDescent="0.25">
      <c r="A53" s="218" t="s">
        <v>415</v>
      </c>
      <c r="B53" s="643" t="s">
        <v>677</v>
      </c>
      <c r="C53" s="643"/>
      <c r="D53" s="643"/>
    </row>
    <row r="54" spans="1:4" x14ac:dyDescent="0.25">
      <c r="A54" s="218"/>
      <c r="B54" s="643"/>
      <c r="C54" s="643"/>
      <c r="D54" s="643"/>
    </row>
    <row r="55" spans="1:4" x14ac:dyDescent="0.25">
      <c r="A55" s="218"/>
      <c r="B55" s="643"/>
      <c r="C55" s="643"/>
      <c r="D55" s="643"/>
    </row>
    <row r="56" spans="1:4" x14ac:dyDescent="0.25">
      <c r="A56" s="218"/>
      <c r="B56" s="643"/>
      <c r="C56" s="643"/>
      <c r="D56" s="643"/>
    </row>
  </sheetData>
  <sheetProtection password="C69F" sheet="1" objects="1" scenarios="1"/>
  <mergeCells count="3">
    <mergeCell ref="A1:D1"/>
    <mergeCell ref="B53:D56"/>
    <mergeCell ref="B50:D51"/>
  </mergeCells>
  <hyperlinks>
    <hyperlink ref="C35:D35" location="D.3!A1" display="D.3."/>
    <hyperlink ref="C37:D37" location="D.4!A1" display="D.4."/>
    <hyperlink ref="C38:D38" location="D.5!A1" display="D.5."/>
    <hyperlink ref="C39:D39" location="D.6!A1" display="D.6."/>
    <hyperlink ref="C40:D40" location="D.7!A1" display="D.7."/>
    <hyperlink ref="C41:D41" location="D.8!A1" display="D.8."/>
    <hyperlink ref="C42:D42" location="D.9!A1" display="D.9."/>
    <hyperlink ref="C21:D21" location="C.8!A1" display="C.8."/>
    <hyperlink ref="C22:D22" location="C.9!A1" display="C.9."/>
    <hyperlink ref="C11:D11" location="B.2!A1" display="B.2."/>
    <hyperlink ref="C5:D5" location="I.1!A1" display="I.1."/>
    <hyperlink ref="C6:D6" location="I.2!A1" display="I.2."/>
    <hyperlink ref="C7:D7" location="I.3!A1" display="I.3."/>
    <hyperlink ref="C14:D14" location="C.1!A1" display="C.1."/>
    <hyperlink ref="C15:D15" location="C.2!A1" display="C.2."/>
    <hyperlink ref="C16:D16" location="C.3!A1" display="C.3."/>
    <hyperlink ref="C17:D17" location="C.4!A1" display="C.4."/>
    <hyperlink ref="C18:D18" location="C.5!A1" display="C.5."/>
    <hyperlink ref="C19:D19" location="C.6!A1" display="C.6."/>
    <hyperlink ref="C20:D20" location="C.7!A1" display="C.7."/>
    <hyperlink ref="C23:D23" location="C.10!A1" display="C.10."/>
    <hyperlink ref="C24:D24" location="C.11!A1" display="C.11."/>
    <hyperlink ref="C25:D25" location="C.12!A1" display="C.12."/>
    <hyperlink ref="C29:D29" location="C.16!A1" display="C.16."/>
    <hyperlink ref="C30:D30" location="C.17!A1" display="C.17."/>
    <hyperlink ref="C27:D27" location="C.14!A1" display="C.14."/>
    <hyperlink ref="C28:D28" location="C.15!A1" display="C.15."/>
    <hyperlink ref="C33:D33" location="D.1!A1" display="D.1."/>
    <hyperlink ref="C34:D34" location="D.2!A1" display="D.2."/>
    <hyperlink ref="C43:D43" location="D.11!A1" display="D.11."/>
    <hyperlink ref="D47" location="'ANEXO 1'!A1" display="IPC FUENTE INE."/>
    <hyperlink ref="D10" location="B.1!A1" display="TOTAL DE VENTAS Y EXPORTACIONES SEGÚN ACTIVIDAD ECONÓMICA."/>
    <hyperlink ref="C26:D26" location="C.13!A1" display="C.13."/>
    <hyperlink ref="D11" location="B.2!A1" display="EMPRESAS EXPORTADORAS Y GASTO EN I+D SEGÚN ACTIVIDAD ECONÓMICA."/>
    <hyperlink ref="C10" location="B.1!A1" display="B.1."/>
    <hyperlink ref="D48" location="'ANEXO 2'!A1" display="DATOS DE OBSERVATORIOS ASTRONÓMICOS."/>
    <hyperlink ref="D43" location="D.11!A1" display="EMPRESAS: MUJERES INVESTIGADORAS POR ACTIVIDAD ECONÓMICA (2013)."/>
    <hyperlink ref="C43" location="D.11!A1" display="D.11."/>
    <hyperlink ref="D36" location="D.4!A1" display="PERSONAL I+D SEGÚN OCUPACIÓN E INVESTIGADORES SEGÚN TITULACIÓN FORMAL (PROMEDIO MENSUAL)."/>
    <hyperlink ref="C36" location="D.4!A1" display="D.4."/>
    <hyperlink ref="D37" location="D.5!A1" display="PERSONAL I+D POR REGIÓN Y UNIDAD DECLARANTE (JCE Y PROMEDIO MENSUAL)."/>
    <hyperlink ref="C37" location="D.5!A1" display="D.5."/>
    <hyperlink ref="D39" location="D.7!A1" display="INVESTIGADORES SEGÚN ÁREA DEL CONOCIMIENTO Y UNIDAD DECLARANTE (JCE)"/>
    <hyperlink ref="C39" location="D.7!A1" display="D.7."/>
    <hyperlink ref="C40" location="D.8!A1" display="D.8."/>
    <hyperlink ref="C41" location="D.9!A1" display="D.9."/>
    <hyperlink ref="C42" location="D.10!A1" display="D.10."/>
    <hyperlink ref="C44" location="D.12!A1" display="D.12."/>
    <hyperlink ref="D40" location="D.8!A1" display="PERSONAL I+D MUJERES POR OCUPACIÓN Y UNIDAD DECLARANTE (2013, JCE Y PROMEDIO MENSUAL)."/>
    <hyperlink ref="D41" location="D.9!A1" display="PERSONAL I+D MUJERES POR TITULACIÓN FORMAL Y UNIDAD DECLARANTE (2013, JCE Y PROMEDIO MENSUAL)."/>
    <hyperlink ref="D42" location="D.10!A1" display="MUJERES INVESTIGADORAS POR TITULACIÓN FORMAL Y UNIDAD DECLARANTE (2013)"/>
    <hyperlink ref="D44" location="D.12!A1" display="TENDENCIAS DE MUJERES: PERSONAL I+D, INVESTIGADORAS, OCUPACIÓN (JCE)"/>
    <hyperlink ref="D38" location="D.6!A1" display="EMPRESAS: INVESTIGADORES POR ACTIVIDAD ECONÓMICA (JCE Y PROMEDIO MENSUAL)."/>
    <hyperlink ref="C38" location="D.6!A1" display="D.6."/>
    <hyperlink ref="C47" location="'ANEXO 1'!A1" display="ANEXO1"/>
    <hyperlink ref="C48" location="'ANEXO 2'!A1" display="ANEXO2"/>
    <hyperlink ref="C10:D10" location="B.1!A1" display="B.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T13"/>
  <sheetViews>
    <sheetView zoomScale="90" zoomScaleNormal="90" workbookViewId="0"/>
  </sheetViews>
  <sheetFormatPr baseColWidth="10" defaultRowHeight="15" x14ac:dyDescent="0.25"/>
  <cols>
    <col min="2" max="2" width="22.42578125" bestFit="1" customWidth="1"/>
    <col min="10" max="10" width="11.140625" bestFit="1" customWidth="1"/>
    <col min="11" max="11" width="22.42578125" bestFit="1" customWidth="1"/>
    <col min="12" max="12" width="25" customWidth="1"/>
  </cols>
  <sheetData>
    <row r="1" spans="1:20" x14ac:dyDescent="0.25">
      <c r="A1" s="59" t="s">
        <v>132</v>
      </c>
    </row>
    <row r="2" spans="1:20" x14ac:dyDescent="0.25">
      <c r="A2" s="1" t="s">
        <v>560</v>
      </c>
      <c r="K2" s="238"/>
    </row>
    <row r="4" spans="1:20" x14ac:dyDescent="0.25">
      <c r="A4" s="58" t="s">
        <v>103</v>
      </c>
      <c r="B4" t="s">
        <v>627</v>
      </c>
    </row>
    <row r="6" spans="1:20" x14ac:dyDescent="0.25">
      <c r="B6" s="674" t="s">
        <v>559</v>
      </c>
      <c r="C6" s="674"/>
      <c r="D6" s="674"/>
      <c r="E6" s="674"/>
      <c r="F6" s="674"/>
      <c r="G6" s="674"/>
      <c r="H6" s="674"/>
      <c r="I6" s="674"/>
      <c r="J6" s="113"/>
      <c r="L6" s="674" t="s">
        <v>239</v>
      </c>
      <c r="M6" s="674"/>
      <c r="N6" s="674"/>
      <c r="O6" s="674"/>
      <c r="P6" s="674"/>
      <c r="Q6" s="674"/>
      <c r="R6" s="674"/>
      <c r="S6" s="674"/>
      <c r="T6" s="113"/>
    </row>
    <row r="7" spans="1:20" ht="15.75" thickBot="1" x14ac:dyDescent="0.3">
      <c r="B7" s="69"/>
      <c r="C7" s="71">
        <v>2007</v>
      </c>
      <c r="D7" s="71">
        <v>2008</v>
      </c>
      <c r="E7" s="71">
        <v>2009</v>
      </c>
      <c r="F7" s="71">
        <v>2010</v>
      </c>
      <c r="G7" s="71">
        <v>2011</v>
      </c>
      <c r="H7" s="71">
        <v>2012</v>
      </c>
      <c r="I7" s="71">
        <v>2013</v>
      </c>
      <c r="J7" s="71" t="s">
        <v>447</v>
      </c>
      <c r="L7" s="69"/>
      <c r="M7" s="71">
        <v>2007</v>
      </c>
      <c r="N7" s="71">
        <v>2008</v>
      </c>
      <c r="O7" s="71">
        <v>2009</v>
      </c>
      <c r="P7" s="71">
        <v>2010</v>
      </c>
      <c r="Q7" s="71">
        <v>2011</v>
      </c>
      <c r="R7" s="71">
        <v>2012</v>
      </c>
      <c r="S7" s="71">
        <v>2013</v>
      </c>
      <c r="T7" s="71" t="s">
        <v>447</v>
      </c>
    </row>
    <row r="8" spans="1:20" ht="15.75" thickTop="1" x14ac:dyDescent="0.25">
      <c r="B8" s="73" t="s">
        <v>7</v>
      </c>
      <c r="C8" s="549">
        <f>109192.93*'ANEXO 1'!C6</f>
        <v>135686.41060589999</v>
      </c>
      <c r="D8" s="549">
        <f>153888.827*'ANEXO 1'!D6</f>
        <v>178561.82263291001</v>
      </c>
      <c r="E8" s="549">
        <f>91768.866*'ANEXO 1'!E6</f>
        <v>107972.49466961998</v>
      </c>
      <c r="F8" s="549">
        <f>93473.178*'ANEXO 1'!F6</f>
        <v>106802.4531828</v>
      </c>
      <c r="G8" s="549">
        <f>145323.268*'ANEXO 1'!G6</f>
        <v>158990.9213554</v>
      </c>
      <c r="H8" s="549">
        <f>164480.528*'ANEXO 1'!H6</f>
        <v>177314.94359983999</v>
      </c>
      <c r="I8" s="549">
        <f>(153358617+ 3546536+12114687+ 656472+9149697+ 4280420)/1000*'ANEXO 1'!I6</f>
        <v>191615.38475563002</v>
      </c>
      <c r="J8" s="549">
        <f>(153499807+6842895+ 18094553)/1000</f>
        <v>178437.255</v>
      </c>
      <c r="K8" s="147"/>
      <c r="L8" s="73" t="s">
        <v>7</v>
      </c>
      <c r="M8" s="551">
        <f t="shared" ref="M8:T13" si="0">C8/C$13</f>
        <v>0.3888847851131591</v>
      </c>
      <c r="N8" s="551">
        <f t="shared" si="0"/>
        <v>0.4372801108452295</v>
      </c>
      <c r="O8" s="551">
        <f t="shared" si="0"/>
        <v>0.26962569911066087</v>
      </c>
      <c r="P8" s="551">
        <f t="shared" si="0"/>
        <v>0.25442294432712731</v>
      </c>
      <c r="Q8" s="551">
        <f t="shared" si="0"/>
        <v>0.33892211859136928</v>
      </c>
      <c r="R8" s="551">
        <f t="shared" si="0"/>
        <v>0.34945640581874993</v>
      </c>
      <c r="S8" s="551">
        <f t="shared" si="0"/>
        <v>0.34166467286859759</v>
      </c>
      <c r="T8" s="551">
        <f t="shared" si="0"/>
        <v>0.31964277754313947</v>
      </c>
    </row>
    <row r="9" spans="1:20" x14ac:dyDescent="0.25">
      <c r="B9" s="73" t="s">
        <v>5</v>
      </c>
      <c r="C9" s="549">
        <f>99906.744*'ANEXO 1'!C6</f>
        <v>124147.11729672</v>
      </c>
      <c r="D9" s="549">
        <f>118814.967*'ANEXO 1'!D6</f>
        <v>137864.57065911</v>
      </c>
      <c r="E9" s="549">
        <f>130435.553210096*'ANEXO 1'!E6</f>
        <v>153466.55884040263</v>
      </c>
      <c r="F9" s="549">
        <f>148273.227395862*'ANEXO 1'!F6</f>
        <v>169416.98962251193</v>
      </c>
      <c r="G9" s="549">
        <f>144305.180931061*'ANEXO 1'!G6</f>
        <v>157877.0831976273</v>
      </c>
      <c r="H9" s="549">
        <f>169256.073743837*'ANEXO 1'!H6</f>
        <v>182463.12517806861</v>
      </c>
      <c r="I9" s="550">
        <f>205647.731*'ANEXO 1'!I6</f>
        <v>215204.18105956999</v>
      </c>
      <c r="J9" s="549">
        <v>246126.98199999999</v>
      </c>
      <c r="L9" s="73" t="s">
        <v>5</v>
      </c>
      <c r="M9" s="551">
        <f t="shared" si="0"/>
        <v>0.35581252991192192</v>
      </c>
      <c r="N9" s="551">
        <f t="shared" si="0"/>
        <v>0.33761659603677585</v>
      </c>
      <c r="O9" s="551">
        <f t="shared" si="0"/>
        <v>0.38323212169972704</v>
      </c>
      <c r="P9" s="551">
        <f t="shared" si="0"/>
        <v>0.4035822027891347</v>
      </c>
      <c r="Q9" s="551">
        <f t="shared" si="0"/>
        <v>0.33654774158303447</v>
      </c>
      <c r="R9" s="551">
        <f t="shared" si="0"/>
        <v>0.359602561547678</v>
      </c>
      <c r="S9" s="551">
        <f t="shared" si="0"/>
        <v>0.38372527454120331</v>
      </c>
      <c r="T9" s="551">
        <f t="shared" si="0"/>
        <v>0.44089846682964429</v>
      </c>
    </row>
    <row r="10" spans="1:20" x14ac:dyDescent="0.25">
      <c r="B10" s="73" t="s">
        <v>51</v>
      </c>
      <c r="C10" s="549">
        <f>52356.398*'ANEXO 1'!C6</f>
        <v>65059.630846739994</v>
      </c>
      <c r="D10" s="549">
        <f>60561.371*'ANEXO 1'!D6</f>
        <v>70271.175612430001</v>
      </c>
      <c r="E10" s="549">
        <f>47525.7427899035*'ANEXO 1'!E6</f>
        <v>55917.363194316757</v>
      </c>
      <c r="F10" s="549">
        <f>46563.205604138*'ANEXO 1'!F6</f>
        <v>53203.118723288077</v>
      </c>
      <c r="G10" s="549">
        <f>41097.977068939*'ANEXO 1'!G6</f>
        <v>44963.24181227271</v>
      </c>
      <c r="H10" s="549">
        <f>44358.2412561631*'ANEXO 1'!H6</f>
        <v>47819.514821381505</v>
      </c>
      <c r="I10" s="549">
        <f>62662.354*'ANEXO 1'!I6</f>
        <v>65574.273590380006</v>
      </c>
      <c r="J10" s="549">
        <v>52822.055</v>
      </c>
      <c r="L10" s="73" t="s">
        <v>51</v>
      </c>
      <c r="M10" s="551">
        <f t="shared" si="0"/>
        <v>0.18646451364139632</v>
      </c>
      <c r="N10" s="551">
        <f t="shared" si="0"/>
        <v>0.1720871069075019</v>
      </c>
      <c r="O10" s="551">
        <f t="shared" si="0"/>
        <v>0.13963517458613015</v>
      </c>
      <c r="P10" s="551">
        <f t="shared" si="0"/>
        <v>0.12673954304960278</v>
      </c>
      <c r="Q10" s="551">
        <f t="shared" si="0"/>
        <v>9.5848473886675306E-2</v>
      </c>
      <c r="R10" s="551">
        <f t="shared" si="0"/>
        <v>9.4243809564009601E-2</v>
      </c>
      <c r="S10" s="551">
        <f t="shared" si="0"/>
        <v>0.11692387207543793</v>
      </c>
      <c r="T10" s="551">
        <f t="shared" si="0"/>
        <v>9.4622551639995112E-2</v>
      </c>
    </row>
    <row r="11" spans="1:20" x14ac:dyDescent="0.25">
      <c r="B11" s="73" t="s">
        <v>6</v>
      </c>
      <c r="C11" s="549">
        <f>7596.83*'ANEXO 1'!C6</f>
        <v>9440.0488628999992</v>
      </c>
      <c r="D11" s="549">
        <f>6905.506*'ANEXO 1'!D6</f>
        <v>8012.6657769800013</v>
      </c>
      <c r="E11" s="549">
        <f>5792.044*'ANEXO 1'!E6</f>
        <v>6814.7452090799989</v>
      </c>
      <c r="F11" s="549">
        <f>6223.675*'ANEXO 1'!F6</f>
        <v>7111.1710550000007</v>
      </c>
      <c r="G11" s="549">
        <f>6870.676*'ANEXO 1'!G6</f>
        <v>7516.8630778000006</v>
      </c>
      <c r="H11" s="549">
        <f>10045.046*'ANEXO 1'!H6</f>
        <v>10828.860939380002</v>
      </c>
      <c r="I11" s="543">
        <f xml:space="preserve"> (2446603+1757781)/1000*'ANEXO 1'!I6</f>
        <v>4399.7617244800003</v>
      </c>
      <c r="J11" s="550">
        <f xml:space="preserve">   (1524099+ 2485995)/1000</f>
        <v>4010.0940000000001</v>
      </c>
      <c r="L11" s="73" t="s">
        <v>6</v>
      </c>
      <c r="M11" s="551">
        <f t="shared" si="0"/>
        <v>2.7055704083507975E-2</v>
      </c>
      <c r="N11" s="551">
        <f t="shared" si="0"/>
        <v>1.9622220066193616E-2</v>
      </c>
      <c r="O11" s="551">
        <f t="shared" si="0"/>
        <v>1.7017578846181981E-2</v>
      </c>
      <c r="P11" s="551">
        <f t="shared" si="0"/>
        <v>1.694010786746904E-2</v>
      </c>
      <c r="Q11" s="551">
        <f t="shared" si="0"/>
        <v>1.6023752411588175E-2</v>
      </c>
      <c r="R11" s="551">
        <f t="shared" si="0"/>
        <v>2.13417704461893E-2</v>
      </c>
      <c r="S11" s="551">
        <f t="shared" si="0"/>
        <v>7.8451067601453019E-3</v>
      </c>
      <c r="T11" s="551">
        <f t="shared" si="0"/>
        <v>7.1834639261239373E-3</v>
      </c>
    </row>
    <row r="12" spans="1:20" x14ac:dyDescent="0.25">
      <c r="B12" s="73" t="s">
        <v>66</v>
      </c>
      <c r="C12" s="549">
        <f>11731.881*'ANEXO 1'!C6</f>
        <v>14578.387287029998</v>
      </c>
      <c r="D12" s="549">
        <f>11752.097*'ANEXO 1'!D6</f>
        <v>13636.310712010001</v>
      </c>
      <c r="E12" s="549">
        <f>64834.319*'ANEXO 1'!E6</f>
        <v>76282.114705829998</v>
      </c>
      <c r="F12" s="549">
        <f>72859.593*'ANEXO 1'!F6</f>
        <v>83249.370961799999</v>
      </c>
      <c r="G12" s="549">
        <f>91183.612*'ANEXO 1'!G6</f>
        <v>99759.43070859999</v>
      </c>
      <c r="H12" s="549">
        <f>82535.495*'ANEXO 1'!H6</f>
        <v>88975.739674850003</v>
      </c>
      <c r="I12" s="630">
        <f xml:space="preserve"> ((3531207+ 77369+1381337+30770+168332+ 4903784)/1000+70210.686)*'ANEXO 1'!I6</f>
        <v>84035.187947950006</v>
      </c>
      <c r="J12" s="550">
        <f>11019.482+65823.728</f>
        <v>76843.210000000006</v>
      </c>
      <c r="L12" s="73" t="s">
        <v>66</v>
      </c>
      <c r="M12" s="551">
        <f t="shared" si="0"/>
        <v>4.1782467250014756E-2</v>
      </c>
      <c r="N12" s="551">
        <f t="shared" si="0"/>
        <v>3.3393966144299021E-2</v>
      </c>
      <c r="O12" s="551">
        <f t="shared" si="0"/>
        <v>0.19048942575729993</v>
      </c>
      <c r="P12" s="551">
        <f t="shared" si="0"/>
        <v>0.19831520196666633</v>
      </c>
      <c r="Q12" s="551">
        <f t="shared" si="0"/>
        <v>0.21265791352733274</v>
      </c>
      <c r="R12" s="551">
        <f t="shared" si="0"/>
        <v>0.17535545262337321</v>
      </c>
      <c r="S12" s="551">
        <f t="shared" si="0"/>
        <v>0.14984107375461586</v>
      </c>
      <c r="T12" s="551">
        <f t="shared" si="0"/>
        <v>0.13765274006109737</v>
      </c>
    </row>
    <row r="13" spans="1:20" x14ac:dyDescent="0.25">
      <c r="B13" s="70" t="s">
        <v>8</v>
      </c>
      <c r="C13" s="545">
        <f>SUM(C8:C12)</f>
        <v>348911.59489928995</v>
      </c>
      <c r="D13" s="545">
        <f t="shared" ref="D13:J13" si="1">SUM(D8:D12)</f>
        <v>408346.54539344006</v>
      </c>
      <c r="E13" s="545">
        <f t="shared" si="1"/>
        <v>400453.27661924937</v>
      </c>
      <c r="F13" s="545">
        <f t="shared" si="1"/>
        <v>419783.10354539996</v>
      </c>
      <c r="G13" s="545">
        <f t="shared" si="1"/>
        <v>469107.54015170003</v>
      </c>
      <c r="H13" s="545">
        <f t="shared" si="1"/>
        <v>507402.18421352009</v>
      </c>
      <c r="I13" s="545">
        <f>SUM(I8:I12)</f>
        <v>560828.78907801001</v>
      </c>
      <c r="J13" s="545">
        <f t="shared" si="1"/>
        <v>558239.5959999999</v>
      </c>
      <c r="L13" s="70" t="s">
        <v>8</v>
      </c>
      <c r="M13" s="615">
        <f t="shared" si="0"/>
        <v>1</v>
      </c>
      <c r="N13" s="615">
        <f t="shared" si="0"/>
        <v>1</v>
      </c>
      <c r="O13" s="615">
        <f t="shared" si="0"/>
        <v>1</v>
      </c>
      <c r="P13" s="615">
        <f t="shared" si="0"/>
        <v>1</v>
      </c>
      <c r="Q13" s="615">
        <f t="shared" si="0"/>
        <v>1</v>
      </c>
      <c r="R13" s="615">
        <f t="shared" si="0"/>
        <v>1</v>
      </c>
      <c r="S13" s="615">
        <f t="shared" si="0"/>
        <v>1</v>
      </c>
      <c r="T13" s="615">
        <f t="shared" si="0"/>
        <v>1</v>
      </c>
    </row>
  </sheetData>
  <sheetProtection password="C69F" sheet="1" objects="1" scenarios="1"/>
  <mergeCells count="2">
    <mergeCell ref="B6:I6"/>
    <mergeCell ref="L6:S6"/>
  </mergeCells>
  <hyperlinks>
    <hyperlink ref="A1" location="ÍNDICE!A1" display="ÍNDICE"/>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L55"/>
  <sheetViews>
    <sheetView zoomScale="90" zoomScaleNormal="90" workbookViewId="0"/>
  </sheetViews>
  <sheetFormatPr baseColWidth="10" defaultRowHeight="15" x14ac:dyDescent="0.25"/>
  <cols>
    <col min="2" max="2" width="22.28515625" bestFit="1" customWidth="1"/>
    <col min="8" max="8" width="12.140625" bestFit="1" customWidth="1"/>
    <col min="12" max="12" width="22.85546875" bestFit="1" customWidth="1"/>
  </cols>
  <sheetData>
    <row r="1" spans="1:10" x14ac:dyDescent="0.25">
      <c r="A1" s="59" t="s">
        <v>132</v>
      </c>
    </row>
    <row r="2" spans="1:10" x14ac:dyDescent="0.25">
      <c r="A2" s="1" t="s">
        <v>561</v>
      </c>
    </row>
    <row r="3" spans="1:10" s="64" customFormat="1" x14ac:dyDescent="0.25"/>
    <row r="4" spans="1:10" x14ac:dyDescent="0.25">
      <c r="A4" s="58" t="s">
        <v>103</v>
      </c>
      <c r="B4" t="s">
        <v>628</v>
      </c>
    </row>
    <row r="5" spans="1:10" s="64" customFormat="1" ht="15" customHeight="1" x14ac:dyDescent="0.25">
      <c r="A5" s="204"/>
    </row>
    <row r="6" spans="1:10" ht="15" customHeight="1" x14ac:dyDescent="0.25">
      <c r="B6" s="676" t="s">
        <v>669</v>
      </c>
      <c r="C6" s="677"/>
      <c r="D6" s="677"/>
      <c r="E6" s="677"/>
      <c r="F6" s="677"/>
      <c r="G6" s="677"/>
      <c r="H6" s="678"/>
      <c r="I6" s="204"/>
      <c r="J6" s="204"/>
    </row>
    <row r="7" spans="1:10" x14ac:dyDescent="0.25">
      <c r="B7" s="456"/>
      <c r="C7" s="675" t="s">
        <v>233</v>
      </c>
      <c r="D7" s="675"/>
      <c r="E7" s="675"/>
      <c r="F7" s="684"/>
      <c r="G7" s="457"/>
      <c r="H7" s="458"/>
      <c r="I7" s="204"/>
      <c r="J7" s="204"/>
    </row>
    <row r="8" spans="1:10" ht="15.75" thickBot="1" x14ac:dyDescent="0.3">
      <c r="B8" s="459" t="s">
        <v>563</v>
      </c>
      <c r="C8" s="460" t="s">
        <v>7</v>
      </c>
      <c r="D8" s="461" t="s">
        <v>5</v>
      </c>
      <c r="E8" s="462" t="s">
        <v>234</v>
      </c>
      <c r="F8" s="463" t="s">
        <v>235</v>
      </c>
      <c r="G8" s="464" t="s">
        <v>624</v>
      </c>
      <c r="H8" s="465" t="s">
        <v>237</v>
      </c>
      <c r="I8" s="204"/>
      <c r="J8" s="204"/>
    </row>
    <row r="9" spans="1:10" x14ac:dyDescent="0.25">
      <c r="B9" s="466" t="s">
        <v>7</v>
      </c>
      <c r="C9" s="467">
        <v>165589.584</v>
      </c>
      <c r="D9" s="468">
        <v>1497.3789999999999</v>
      </c>
      <c r="E9" s="469">
        <v>7130.9309999999996</v>
      </c>
      <c r="F9" s="470">
        <v>4219.3609999999999</v>
      </c>
      <c r="G9" s="471">
        <v>178437.255</v>
      </c>
      <c r="H9" s="472">
        <v>0.36237104974854301</v>
      </c>
      <c r="I9" s="147"/>
      <c r="J9" s="204"/>
    </row>
    <row r="10" spans="1:10" x14ac:dyDescent="0.25">
      <c r="B10" s="466" t="s">
        <v>5</v>
      </c>
      <c r="C10" s="467">
        <v>17315.823</v>
      </c>
      <c r="D10" s="468">
        <v>42933.644</v>
      </c>
      <c r="E10" s="469">
        <v>153003.78400000001</v>
      </c>
      <c r="F10" s="470">
        <v>32873.731</v>
      </c>
      <c r="G10" s="471">
        <v>246126.98200000002</v>
      </c>
      <c r="H10" s="472">
        <v>0.49983560237339869</v>
      </c>
      <c r="I10" s="147"/>
      <c r="J10" s="204"/>
    </row>
    <row r="11" spans="1:10" x14ac:dyDescent="0.25">
      <c r="B11" s="466" t="s">
        <v>177</v>
      </c>
      <c r="C11" s="467">
        <v>197.04300000000001</v>
      </c>
      <c r="D11" s="468">
        <v>0</v>
      </c>
      <c r="E11" s="469">
        <v>51722.088000000003</v>
      </c>
      <c r="F11" s="470">
        <v>902.92399999999998</v>
      </c>
      <c r="G11" s="471">
        <v>52822.055</v>
      </c>
      <c r="H11" s="472">
        <v>0.10727122831061973</v>
      </c>
      <c r="I11" s="147"/>
      <c r="J11" s="147"/>
    </row>
    <row r="12" spans="1:10" x14ac:dyDescent="0.25">
      <c r="B12" s="466" t="s">
        <v>6</v>
      </c>
      <c r="C12" s="467">
        <v>239.95599999999999</v>
      </c>
      <c r="D12" s="468">
        <v>2.59</v>
      </c>
      <c r="E12" s="469">
        <v>1084.0999999999999</v>
      </c>
      <c r="F12" s="470">
        <v>2683.4479999999999</v>
      </c>
      <c r="G12" s="471">
        <v>4010.0940000000001</v>
      </c>
      <c r="H12" s="472">
        <v>8.1437140039524458E-3</v>
      </c>
      <c r="I12" s="147"/>
      <c r="J12" s="204"/>
    </row>
    <row r="13" spans="1:10" x14ac:dyDescent="0.25">
      <c r="B13" s="466" t="s">
        <v>66</v>
      </c>
      <c r="C13" s="467">
        <v>3602.7849999999999</v>
      </c>
      <c r="D13" s="468">
        <v>949.83299999999997</v>
      </c>
      <c r="E13" s="469">
        <v>4179.78</v>
      </c>
      <c r="F13" s="470">
        <v>2287.0839999999998</v>
      </c>
      <c r="G13" s="471">
        <v>11019.482</v>
      </c>
      <c r="H13" s="472">
        <v>2.2378405563486022E-2</v>
      </c>
      <c r="I13" s="147"/>
    </row>
    <row r="14" spans="1:10" x14ac:dyDescent="0.25">
      <c r="B14" s="473" t="s">
        <v>625</v>
      </c>
      <c r="C14" s="474">
        <v>186945.19100000002</v>
      </c>
      <c r="D14" s="475">
        <v>45383.445999999996</v>
      </c>
      <c r="E14" s="476">
        <v>217120.68300000002</v>
      </c>
      <c r="F14" s="477">
        <v>42966.547999999995</v>
      </c>
      <c r="G14" s="478">
        <v>492415.86800000007</v>
      </c>
      <c r="H14" s="479">
        <v>1</v>
      </c>
      <c r="I14" s="147"/>
    </row>
    <row r="15" spans="1:10" x14ac:dyDescent="0.25">
      <c r="B15" s="480" t="s">
        <v>238</v>
      </c>
      <c r="C15" s="616">
        <v>0.37964899823252646</v>
      </c>
      <c r="D15" s="481">
        <v>9.2164873127118616E-2</v>
      </c>
      <c r="E15" s="482">
        <v>0.44092950107773532</v>
      </c>
      <c r="F15" s="617">
        <v>8.7256627562619468E-2</v>
      </c>
      <c r="G15" s="484">
        <v>1</v>
      </c>
      <c r="H15" s="618"/>
    </row>
    <row r="16" spans="1:10" ht="15" customHeight="1" x14ac:dyDescent="0.25">
      <c r="B16" s="455"/>
      <c r="C16" s="455"/>
      <c r="D16" s="455"/>
      <c r="E16" s="455"/>
      <c r="F16" s="455"/>
      <c r="G16" s="455"/>
      <c r="H16" s="455"/>
    </row>
    <row r="17" spans="2:12" ht="15" customHeight="1" x14ac:dyDescent="0.25">
      <c r="B17" s="679" t="s">
        <v>669</v>
      </c>
      <c r="C17" s="680"/>
      <c r="D17" s="680"/>
      <c r="E17" s="680"/>
      <c r="F17" s="680"/>
      <c r="G17" s="680"/>
      <c r="H17" s="681"/>
    </row>
    <row r="18" spans="2:12" ht="15" customHeight="1" x14ac:dyDescent="0.25">
      <c r="B18" s="685" t="s">
        <v>564</v>
      </c>
      <c r="C18" s="686"/>
      <c r="D18" s="686"/>
      <c r="E18" s="686"/>
      <c r="F18" s="686"/>
      <c r="G18" s="686"/>
      <c r="H18" s="687"/>
    </row>
    <row r="19" spans="2:12" x14ac:dyDescent="0.25">
      <c r="B19" s="620"/>
      <c r="C19" s="688" t="s">
        <v>233</v>
      </c>
      <c r="D19" s="688"/>
      <c r="E19" s="688"/>
      <c r="F19" s="688"/>
      <c r="G19" s="621"/>
      <c r="H19" s="622"/>
    </row>
    <row r="20" spans="2:12" ht="15.75" thickBot="1" x14ac:dyDescent="0.3">
      <c r="B20" s="459" t="s">
        <v>563</v>
      </c>
      <c r="C20" s="460" t="s">
        <v>7</v>
      </c>
      <c r="D20" s="461" t="s">
        <v>5</v>
      </c>
      <c r="E20" s="462" t="s">
        <v>234</v>
      </c>
      <c r="F20" s="463" t="s">
        <v>235</v>
      </c>
      <c r="G20" s="464" t="s">
        <v>624</v>
      </c>
      <c r="H20" s="465" t="s">
        <v>237</v>
      </c>
    </row>
    <row r="21" spans="2:12" x14ac:dyDescent="0.25">
      <c r="B21" s="466" t="s">
        <v>7</v>
      </c>
      <c r="C21" s="467">
        <v>165589.584</v>
      </c>
      <c r="D21" s="468">
        <v>1497.3789999999999</v>
      </c>
      <c r="E21" s="469">
        <v>7130.9309999999996</v>
      </c>
      <c r="F21" s="470">
        <v>4219.3609999999999</v>
      </c>
      <c r="G21" s="471">
        <v>178437.255</v>
      </c>
      <c r="H21" s="472">
        <v>0.31964277754313936</v>
      </c>
    </row>
    <row r="22" spans="2:12" x14ac:dyDescent="0.25">
      <c r="B22" s="466" t="s">
        <v>5</v>
      </c>
      <c r="C22" s="467">
        <v>17315.823</v>
      </c>
      <c r="D22" s="468">
        <v>42933.644</v>
      </c>
      <c r="E22" s="469">
        <v>153003.78400000001</v>
      </c>
      <c r="F22" s="470">
        <v>32873.731</v>
      </c>
      <c r="G22" s="471">
        <v>246126.98200000002</v>
      </c>
      <c r="H22" s="472">
        <v>0.44089846682964423</v>
      </c>
      <c r="J22" s="233"/>
    </row>
    <row r="23" spans="2:12" x14ac:dyDescent="0.25">
      <c r="B23" s="466" t="s">
        <v>177</v>
      </c>
      <c r="C23" s="467">
        <v>197.04300000000001</v>
      </c>
      <c r="D23" s="468">
        <v>0</v>
      </c>
      <c r="E23" s="469">
        <v>51722.088000000003</v>
      </c>
      <c r="F23" s="470">
        <v>902.92399999999998</v>
      </c>
      <c r="G23" s="471">
        <v>52822.055</v>
      </c>
      <c r="H23" s="472">
        <v>9.4622551639995098E-2</v>
      </c>
    </row>
    <row r="24" spans="2:12" x14ac:dyDescent="0.25">
      <c r="B24" s="466" t="s">
        <v>6</v>
      </c>
      <c r="C24" s="467">
        <v>239.95599999999999</v>
      </c>
      <c r="D24" s="468">
        <v>2.59</v>
      </c>
      <c r="E24" s="469">
        <v>1084.0999999999999</v>
      </c>
      <c r="F24" s="470">
        <v>2683.4479999999999</v>
      </c>
      <c r="G24" s="471">
        <v>4010.0940000000001</v>
      </c>
      <c r="H24" s="472">
        <v>7.1834639261239364E-3</v>
      </c>
    </row>
    <row r="25" spans="2:12" x14ac:dyDescent="0.25">
      <c r="B25" s="466" t="s">
        <v>66</v>
      </c>
      <c r="C25" s="467">
        <v>3602.7849999999999</v>
      </c>
      <c r="D25" s="468">
        <v>949.83299999999997</v>
      </c>
      <c r="E25" s="469">
        <v>4179.78</v>
      </c>
      <c r="F25" s="470">
        <v>68110.812000000005</v>
      </c>
      <c r="G25" s="471">
        <v>76843.210000000006</v>
      </c>
      <c r="H25" s="472">
        <v>0.13765274006109735</v>
      </c>
    </row>
    <row r="26" spans="2:12" x14ac:dyDescent="0.25">
      <c r="B26" s="473" t="s">
        <v>625</v>
      </c>
      <c r="C26" s="474">
        <v>186945.19100000002</v>
      </c>
      <c r="D26" s="475">
        <v>45383.445999999996</v>
      </c>
      <c r="E26" s="476">
        <v>217120.68300000002</v>
      </c>
      <c r="F26" s="477">
        <v>108790.276</v>
      </c>
      <c r="G26" s="478">
        <v>558239.59600000002</v>
      </c>
      <c r="H26" s="472">
        <v>1</v>
      </c>
    </row>
    <row r="27" spans="2:12" x14ac:dyDescent="0.25">
      <c r="B27" s="480" t="s">
        <v>238</v>
      </c>
      <c r="C27" s="616">
        <v>0.33488343059061687</v>
      </c>
      <c r="D27" s="481">
        <v>8.129743272456795E-2</v>
      </c>
      <c r="E27" s="482">
        <v>0.38893816303206125</v>
      </c>
      <c r="F27" s="483">
        <v>0.19488097365275392</v>
      </c>
      <c r="G27" s="619">
        <v>1</v>
      </c>
      <c r="H27" s="618"/>
    </row>
    <row r="28" spans="2:12" s="86" customFormat="1" x14ac:dyDescent="0.25">
      <c r="B28"/>
      <c r="C28"/>
      <c r="D28"/>
      <c r="E28"/>
      <c r="F28"/>
      <c r="G28"/>
      <c r="H28"/>
    </row>
    <row r="29" spans="2:12" x14ac:dyDescent="0.25">
      <c r="B29" s="485" t="s">
        <v>565</v>
      </c>
      <c r="C29" s="86"/>
      <c r="D29" s="86"/>
      <c r="E29" s="86"/>
      <c r="F29" s="86"/>
      <c r="G29" s="86"/>
      <c r="H29" s="86"/>
      <c r="I29" s="86"/>
      <c r="J29" s="86"/>
      <c r="K29" s="86"/>
      <c r="L29" s="238"/>
    </row>
    <row r="31" spans="2:12" x14ac:dyDescent="0.25">
      <c r="B31" s="676" t="s">
        <v>670</v>
      </c>
      <c r="C31" s="682"/>
      <c r="D31" s="682"/>
      <c r="E31" s="682"/>
      <c r="F31" s="682"/>
      <c r="G31" s="682"/>
      <c r="H31" s="683"/>
    </row>
    <row r="32" spans="2:12" x14ac:dyDescent="0.25">
      <c r="B32" s="456"/>
      <c r="C32" s="675" t="s">
        <v>233</v>
      </c>
      <c r="D32" s="675"/>
      <c r="E32" s="675"/>
      <c r="F32" s="675"/>
      <c r="G32" s="457"/>
      <c r="H32" s="458"/>
      <c r="I32" s="204"/>
      <c r="J32" s="204"/>
      <c r="K32" s="204"/>
    </row>
    <row r="33" spans="2:11" ht="15.75" thickBot="1" x14ac:dyDescent="0.3">
      <c r="B33" s="459" t="s">
        <v>563</v>
      </c>
      <c r="C33" s="460" t="s">
        <v>7</v>
      </c>
      <c r="D33" s="461" t="s">
        <v>5</v>
      </c>
      <c r="E33" s="462" t="s">
        <v>234</v>
      </c>
      <c r="F33" s="463" t="s">
        <v>235</v>
      </c>
      <c r="G33" s="464" t="s">
        <v>236</v>
      </c>
      <c r="H33" s="465" t="s">
        <v>237</v>
      </c>
      <c r="I33" s="204"/>
      <c r="J33" s="204"/>
      <c r="K33" s="204"/>
    </row>
    <row r="34" spans="2:11" x14ac:dyDescent="0.25">
      <c r="B34" s="466" t="s">
        <v>7</v>
      </c>
      <c r="C34" s="467">
        <v>169019.84</v>
      </c>
      <c r="D34" s="468">
        <v>656.47199999999998</v>
      </c>
      <c r="E34" s="469">
        <v>9149.6970000000001</v>
      </c>
      <c r="F34" s="470">
        <v>4280.42</v>
      </c>
      <c r="G34" s="471">
        <v>183106.42900000003</v>
      </c>
      <c r="H34" s="472">
        <v>0.39317381081879593</v>
      </c>
      <c r="I34" s="147"/>
      <c r="J34" s="204"/>
      <c r="K34" s="204"/>
    </row>
    <row r="35" spans="2:11" x14ac:dyDescent="0.25">
      <c r="B35" s="466" t="s">
        <v>5</v>
      </c>
      <c r="C35" s="467">
        <v>15602.264999999999</v>
      </c>
      <c r="D35" s="468">
        <v>43265.96</v>
      </c>
      <c r="E35" s="469">
        <v>132595.136</v>
      </c>
      <c r="F35" s="470">
        <v>14184.37</v>
      </c>
      <c r="G35" s="471">
        <v>205647.731</v>
      </c>
      <c r="H35" s="472">
        <v>0.44157544071545751</v>
      </c>
      <c r="I35" s="147"/>
      <c r="J35" s="204"/>
      <c r="K35" s="204"/>
    </row>
    <row r="36" spans="2:11" x14ac:dyDescent="0.25">
      <c r="B36" s="466" t="s">
        <v>177</v>
      </c>
      <c r="C36" s="467">
        <v>45.567999999999998</v>
      </c>
      <c r="D36" s="468">
        <v>5.008</v>
      </c>
      <c r="E36" s="469">
        <v>62154.713000000003</v>
      </c>
      <c r="F36" s="470">
        <v>457.065</v>
      </c>
      <c r="G36" s="471">
        <v>62662.354000000007</v>
      </c>
      <c r="H36" s="472">
        <v>0.13455123695878762</v>
      </c>
      <c r="I36" s="147"/>
      <c r="J36" s="147"/>
      <c r="K36" s="204"/>
    </row>
    <row r="37" spans="2:11" x14ac:dyDescent="0.25">
      <c r="B37" s="466" t="s">
        <v>6</v>
      </c>
      <c r="C37" s="467">
        <v>45.863999999999997</v>
      </c>
      <c r="D37" s="468">
        <v>0.18</v>
      </c>
      <c r="E37" s="469">
        <v>1407.923</v>
      </c>
      <c r="F37" s="470">
        <v>2750.4169999999999</v>
      </c>
      <c r="G37" s="471">
        <v>4204.384</v>
      </c>
      <c r="H37" s="472">
        <v>9.0278298170818044E-3</v>
      </c>
      <c r="I37" s="147"/>
      <c r="J37" s="204"/>
      <c r="K37" s="204"/>
    </row>
    <row r="38" spans="2:11" x14ac:dyDescent="0.25">
      <c r="B38" s="466" t="s">
        <v>66</v>
      </c>
      <c r="C38" s="467">
        <v>2860.97</v>
      </c>
      <c r="D38" s="468">
        <v>1076.865</v>
      </c>
      <c r="E38" s="469">
        <v>5436.598</v>
      </c>
      <c r="F38" s="470">
        <v>718.36599999999999</v>
      </c>
      <c r="G38" s="471">
        <v>10092.799000000001</v>
      </c>
      <c r="H38" s="472">
        <v>2.1671681689877379E-2</v>
      </c>
      <c r="I38" s="147"/>
      <c r="J38" s="204"/>
      <c r="K38" s="204"/>
    </row>
    <row r="39" spans="2:11" x14ac:dyDescent="0.25">
      <c r="B39" s="473" t="s">
        <v>236</v>
      </c>
      <c r="C39" s="474">
        <v>187574.50699999998</v>
      </c>
      <c r="D39" s="468">
        <v>45004.485000000001</v>
      </c>
      <c r="E39" s="469">
        <v>210744.06699999998</v>
      </c>
      <c r="F39" s="470">
        <v>22390.637999999999</v>
      </c>
      <c r="G39" s="478">
        <v>465713.69699999993</v>
      </c>
      <c r="H39" s="479">
        <v>1</v>
      </c>
      <c r="I39" s="147"/>
      <c r="J39" s="204"/>
      <c r="K39" s="204"/>
    </row>
    <row r="40" spans="2:11" x14ac:dyDescent="0.25">
      <c r="B40" s="480" t="s">
        <v>238</v>
      </c>
      <c r="C40" s="616">
        <v>0.40276785546206517</v>
      </c>
      <c r="D40" s="481">
        <v>9.6635519397231751E-2</v>
      </c>
      <c r="E40" s="482">
        <v>0.45251850730943827</v>
      </c>
      <c r="F40" s="617">
        <v>4.8078117831264908E-2</v>
      </c>
      <c r="G40" s="484">
        <v>1</v>
      </c>
      <c r="H40" s="618"/>
      <c r="I40" s="204"/>
      <c r="J40" s="204"/>
      <c r="K40" s="204"/>
    </row>
    <row r="41" spans="2:11" s="204" customFormat="1" x14ac:dyDescent="0.25">
      <c r="B41"/>
      <c r="C41"/>
      <c r="D41"/>
      <c r="E41"/>
      <c r="F41"/>
      <c r="G41"/>
      <c r="H41"/>
      <c r="I41"/>
    </row>
    <row r="42" spans="2:11" x14ac:dyDescent="0.25">
      <c r="J42" s="204"/>
      <c r="K42" s="204"/>
    </row>
    <row r="43" spans="2:11" x14ac:dyDescent="0.25">
      <c r="B43" s="679" t="s">
        <v>670</v>
      </c>
      <c r="C43" s="680"/>
      <c r="D43" s="680"/>
      <c r="E43" s="680"/>
      <c r="F43" s="680"/>
      <c r="G43" s="680"/>
      <c r="H43" s="681"/>
      <c r="I43" s="204"/>
      <c r="J43" s="204"/>
      <c r="K43" s="204"/>
    </row>
    <row r="44" spans="2:11" ht="15" customHeight="1" x14ac:dyDescent="0.25">
      <c r="B44" s="685" t="s">
        <v>564</v>
      </c>
      <c r="C44" s="686"/>
      <c r="D44" s="686"/>
      <c r="E44" s="686"/>
      <c r="F44" s="686"/>
      <c r="G44" s="686"/>
      <c r="H44" s="687"/>
      <c r="I44" s="204"/>
      <c r="J44" s="204"/>
      <c r="K44" s="204"/>
    </row>
    <row r="45" spans="2:11" x14ac:dyDescent="0.25">
      <c r="B45" s="456"/>
      <c r="C45" s="675" t="s">
        <v>233</v>
      </c>
      <c r="D45" s="675"/>
      <c r="E45" s="675"/>
      <c r="F45" s="675"/>
      <c r="G45" s="457"/>
      <c r="H45" s="458"/>
      <c r="I45" s="204"/>
      <c r="J45" s="204"/>
      <c r="K45" s="204"/>
    </row>
    <row r="46" spans="2:11" ht="15.75" thickBot="1" x14ac:dyDescent="0.3">
      <c r="B46" s="459" t="s">
        <v>563</v>
      </c>
      <c r="C46" s="460" t="s">
        <v>7</v>
      </c>
      <c r="D46" s="461" t="s">
        <v>5</v>
      </c>
      <c r="E46" s="462" t="s">
        <v>234</v>
      </c>
      <c r="F46" s="463" t="s">
        <v>235</v>
      </c>
      <c r="G46" s="464" t="s">
        <v>236</v>
      </c>
      <c r="H46" s="465" t="s">
        <v>237</v>
      </c>
      <c r="I46" s="204"/>
      <c r="J46" s="204"/>
      <c r="K46" s="204"/>
    </row>
    <row r="47" spans="2:11" x14ac:dyDescent="0.25">
      <c r="B47" s="466" t="s">
        <v>7</v>
      </c>
      <c r="C47" s="467">
        <v>169019.84</v>
      </c>
      <c r="D47" s="468">
        <v>656.47199999999998</v>
      </c>
      <c r="E47" s="469">
        <v>9149.6970000000001</v>
      </c>
      <c r="F47" s="470">
        <v>4280.42</v>
      </c>
      <c r="G47" s="471">
        <f t="shared" ref="G47:G48" si="0">+SUM(C47:F47)</f>
        <v>183106.42900000003</v>
      </c>
      <c r="H47" s="472">
        <f>G47/G52</f>
        <v>0.34166467223107366</v>
      </c>
      <c r="I47" s="204"/>
      <c r="J47" s="204"/>
      <c r="K47" s="204"/>
    </row>
    <row r="48" spans="2:11" x14ac:dyDescent="0.25">
      <c r="B48" s="466" t="s">
        <v>5</v>
      </c>
      <c r="C48" s="467">
        <v>15602.264999999999</v>
      </c>
      <c r="D48" s="468">
        <v>43265.96</v>
      </c>
      <c r="E48" s="469">
        <v>132595.136</v>
      </c>
      <c r="F48" s="470">
        <v>14184.37</v>
      </c>
      <c r="G48" s="471">
        <f t="shared" si="0"/>
        <v>205647.731</v>
      </c>
      <c r="H48" s="472">
        <f>G48/G52</f>
        <v>0.383725273825197</v>
      </c>
      <c r="I48" s="204"/>
      <c r="J48" s="233"/>
      <c r="K48" s="204"/>
    </row>
    <row r="49" spans="2:11" x14ac:dyDescent="0.25">
      <c r="B49" s="466" t="s">
        <v>177</v>
      </c>
      <c r="C49" s="467">
        <v>45.567999999999998</v>
      </c>
      <c r="D49" s="468">
        <v>5.008</v>
      </c>
      <c r="E49" s="469">
        <v>62154.713000000003</v>
      </c>
      <c r="F49" s="470">
        <v>457.065</v>
      </c>
      <c r="G49" s="471">
        <f>+SUM(C49:F49)</f>
        <v>62662.354000000007</v>
      </c>
      <c r="H49" s="472">
        <f>G49/G52</f>
        <v>0.11692387185726562</v>
      </c>
      <c r="I49" s="204"/>
      <c r="J49" s="204"/>
      <c r="K49" s="204"/>
    </row>
    <row r="50" spans="2:11" x14ac:dyDescent="0.25">
      <c r="B50" s="466" t="s">
        <v>6</v>
      </c>
      <c r="C50" s="467">
        <v>45.863999999999997</v>
      </c>
      <c r="D50" s="468">
        <v>0.18</v>
      </c>
      <c r="E50" s="469">
        <v>1407.923</v>
      </c>
      <c r="F50" s="470">
        <v>2750.4169999999999</v>
      </c>
      <c r="G50" s="471">
        <f>+SUM(C50:F50)</f>
        <v>4204.384</v>
      </c>
      <c r="H50" s="472">
        <f>G50/G52</f>
        <v>7.8451067455068448E-3</v>
      </c>
      <c r="I50" s="204"/>
      <c r="J50" s="204"/>
      <c r="K50" s="204"/>
    </row>
    <row r="51" spans="2:11" x14ac:dyDescent="0.25">
      <c r="B51" s="466" t="s">
        <v>66</v>
      </c>
      <c r="C51" s="467">
        <v>2860.97</v>
      </c>
      <c r="D51" s="468">
        <v>1076.865</v>
      </c>
      <c r="E51" s="469">
        <v>5436.598</v>
      </c>
      <c r="F51" s="470">
        <v>70929.053</v>
      </c>
      <c r="G51" s="471">
        <f>+SUM(C51:F51)</f>
        <v>80303.486000000004</v>
      </c>
      <c r="H51" s="472">
        <f>G51/G52</f>
        <v>0.14984107534095709</v>
      </c>
      <c r="I51" s="204"/>
      <c r="J51" s="204"/>
      <c r="K51" s="204"/>
    </row>
    <row r="52" spans="2:11" x14ac:dyDescent="0.25">
      <c r="B52" s="473" t="s">
        <v>236</v>
      </c>
      <c r="C52" s="474">
        <v>187574.50699999998</v>
      </c>
      <c r="D52" s="475">
        <v>45004.485000000001</v>
      </c>
      <c r="E52" s="476">
        <v>210744.06699999998</v>
      </c>
      <c r="F52" s="477">
        <f>SUM(F47:F51)</f>
        <v>92601.324999999997</v>
      </c>
      <c r="G52" s="478">
        <f>+SUM(C52:F52)</f>
        <v>535924.38399999996</v>
      </c>
      <c r="H52" s="472">
        <f>G52/G52</f>
        <v>1</v>
      </c>
      <c r="I52" s="204"/>
      <c r="J52" s="204"/>
      <c r="K52" s="204"/>
    </row>
    <row r="53" spans="2:11" x14ac:dyDescent="0.25">
      <c r="B53" s="480" t="s">
        <v>238</v>
      </c>
      <c r="C53" s="616">
        <f>+C52/G52</f>
        <v>0.3500018148082622</v>
      </c>
      <c r="D53" s="481">
        <f>+D52/G52</f>
        <v>8.3975438221523438E-2</v>
      </c>
      <c r="E53" s="482">
        <f>+E52/G52</f>
        <v>0.39323470491687873</v>
      </c>
      <c r="F53" s="483">
        <f>+F52/G52</f>
        <v>0.17278804205333564</v>
      </c>
      <c r="G53" s="619">
        <v>1</v>
      </c>
      <c r="H53" s="618"/>
      <c r="I53" s="204"/>
      <c r="J53" s="204"/>
      <c r="K53" s="204"/>
    </row>
    <row r="54" spans="2:11" x14ac:dyDescent="0.25">
      <c r="B54" s="204"/>
      <c r="C54" s="204"/>
      <c r="D54" s="204"/>
      <c r="E54" s="204"/>
      <c r="F54" s="204"/>
      <c r="G54" s="204"/>
      <c r="H54" s="204"/>
      <c r="I54" s="86"/>
      <c r="J54" s="86"/>
      <c r="K54" s="86"/>
    </row>
    <row r="55" spans="2:11" x14ac:dyDescent="0.25">
      <c r="B55" s="485" t="s">
        <v>679</v>
      </c>
      <c r="C55" s="86"/>
      <c r="D55" s="86"/>
      <c r="E55" s="86"/>
      <c r="F55" s="86"/>
      <c r="G55" s="86"/>
      <c r="H55" s="86"/>
      <c r="I55" s="86"/>
      <c r="J55" s="86"/>
      <c r="K55" s="86"/>
    </row>
  </sheetData>
  <sheetProtection password="C69F" sheet="1" objects="1" scenarios="1"/>
  <mergeCells count="10">
    <mergeCell ref="C45:F45"/>
    <mergeCell ref="B6:H6"/>
    <mergeCell ref="B17:H17"/>
    <mergeCell ref="B31:H31"/>
    <mergeCell ref="B43:H43"/>
    <mergeCell ref="C7:F7"/>
    <mergeCell ref="B18:H18"/>
    <mergeCell ref="C19:F19"/>
    <mergeCell ref="C32:F32"/>
    <mergeCell ref="B44:H44"/>
  </mergeCells>
  <hyperlinks>
    <hyperlink ref="A1" location="ÍNDICE!A1" display="ÍNDIC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J32"/>
  <sheetViews>
    <sheetView zoomScale="90" zoomScaleNormal="90" workbookViewId="0"/>
  </sheetViews>
  <sheetFormatPr baseColWidth="10" defaultRowHeight="15" x14ac:dyDescent="0.25"/>
  <cols>
    <col min="2" max="2" width="8.140625" style="64" customWidth="1"/>
    <col min="3" max="3" width="83.28515625" bestFit="1" customWidth="1"/>
    <col min="4" max="4" width="32.5703125" bestFit="1" customWidth="1"/>
    <col min="5" max="5" width="20.28515625" bestFit="1" customWidth="1"/>
    <col min="9" max="9" width="154.28515625" bestFit="1" customWidth="1"/>
    <col min="10" max="10" width="26.140625" customWidth="1"/>
  </cols>
  <sheetData>
    <row r="1" spans="1:10" x14ac:dyDescent="0.25">
      <c r="A1" s="59" t="s">
        <v>132</v>
      </c>
      <c r="B1" s="59"/>
    </row>
    <row r="2" spans="1:10" x14ac:dyDescent="0.25">
      <c r="A2" s="1" t="s">
        <v>276</v>
      </c>
      <c r="B2" s="1"/>
    </row>
    <row r="3" spans="1:10" s="64" customFormat="1" x14ac:dyDescent="0.25">
      <c r="H3" s="139"/>
      <c r="I3" s="139"/>
      <c r="J3" s="139"/>
    </row>
    <row r="4" spans="1:10" s="64" customFormat="1" x14ac:dyDescent="0.25">
      <c r="A4" s="58" t="s">
        <v>103</v>
      </c>
      <c r="B4" s="64" t="s">
        <v>562</v>
      </c>
    </row>
    <row r="5" spans="1:10" x14ac:dyDescent="0.25">
      <c r="H5" s="64"/>
      <c r="I5" s="64"/>
      <c r="J5" s="64"/>
    </row>
    <row r="6" spans="1:10" x14ac:dyDescent="0.25">
      <c r="B6" s="125"/>
      <c r="C6" s="651" t="s">
        <v>630</v>
      </c>
      <c r="D6" s="655" t="s">
        <v>631</v>
      </c>
      <c r="E6" s="690" t="s">
        <v>9</v>
      </c>
      <c r="H6" s="692" t="s">
        <v>403</v>
      </c>
      <c r="I6" s="692"/>
      <c r="J6" s="692"/>
    </row>
    <row r="7" spans="1:10" ht="15.75" thickBot="1" x14ac:dyDescent="0.3">
      <c r="B7" s="126"/>
      <c r="C7" s="652"/>
      <c r="D7" s="689"/>
      <c r="E7" s="691"/>
      <c r="H7" s="652"/>
      <c r="I7" s="652"/>
      <c r="J7" s="652"/>
    </row>
    <row r="8" spans="1:10" ht="15.75" thickTop="1" x14ac:dyDescent="0.25">
      <c r="B8" s="195" t="s">
        <v>107</v>
      </c>
      <c r="C8" s="170" t="s">
        <v>24</v>
      </c>
      <c r="D8" s="189">
        <v>56238.847999999998</v>
      </c>
      <c r="E8" s="552">
        <f>+D8/$D$27</f>
        <v>0.30083067501854061</v>
      </c>
      <c r="H8" s="170" t="s">
        <v>402</v>
      </c>
      <c r="I8" s="597" t="s">
        <v>393</v>
      </c>
      <c r="J8" s="170" t="s">
        <v>392</v>
      </c>
    </row>
    <row r="9" spans="1:10" x14ac:dyDescent="0.25">
      <c r="B9" s="195" t="s">
        <v>116</v>
      </c>
      <c r="C9" s="170" t="s">
        <v>608</v>
      </c>
      <c r="D9" s="189">
        <v>33512.275000000001</v>
      </c>
      <c r="E9" s="552">
        <f t="shared" ref="E9:E26" si="0">+D9/$D$27</f>
        <v>0.17926256792559056</v>
      </c>
      <c r="H9" s="170" t="s">
        <v>382</v>
      </c>
      <c r="I9" s="170" t="s">
        <v>383</v>
      </c>
      <c r="J9" s="189">
        <f xml:space="preserve"> 20433.866</f>
        <v>20433.866000000002</v>
      </c>
    </row>
    <row r="10" spans="1:10" x14ac:dyDescent="0.25">
      <c r="B10" s="195" t="s">
        <v>105</v>
      </c>
      <c r="C10" s="24" t="s">
        <v>22</v>
      </c>
      <c r="D10" s="189">
        <v>25558.243999999999</v>
      </c>
      <c r="E10" s="552">
        <f t="shared" si="0"/>
        <v>0.13671517230951397</v>
      </c>
      <c r="H10" s="170" t="s">
        <v>394</v>
      </c>
      <c r="I10" s="170" t="s">
        <v>384</v>
      </c>
      <c r="J10" s="189">
        <f>16205.356</f>
        <v>16205.356</v>
      </c>
    </row>
    <row r="11" spans="1:10" x14ac:dyDescent="0.25">
      <c r="B11" s="195" t="s">
        <v>111</v>
      </c>
      <c r="C11" s="25" t="s">
        <v>28</v>
      </c>
      <c r="D11" s="189">
        <v>21841.870999999999</v>
      </c>
      <c r="E11" s="552">
        <f t="shared" si="0"/>
        <v>0.11683569330221498</v>
      </c>
      <c r="H11" s="170" t="s">
        <v>395</v>
      </c>
      <c r="I11" s="170" t="s">
        <v>385</v>
      </c>
      <c r="J11" s="189">
        <f>11984.68</f>
        <v>11984.68</v>
      </c>
    </row>
    <row r="12" spans="1:10" x14ac:dyDescent="0.25">
      <c r="B12" s="195" t="s">
        <v>106</v>
      </c>
      <c r="C12" s="25" t="s">
        <v>23</v>
      </c>
      <c r="D12" s="189">
        <v>19348.482</v>
      </c>
      <c r="E12" s="552">
        <f t="shared" si="0"/>
        <v>0.10349815310306645</v>
      </c>
      <c r="H12" s="170" t="s">
        <v>396</v>
      </c>
      <c r="I12" s="170" t="s">
        <v>386</v>
      </c>
      <c r="J12" s="189">
        <f>15225.062</f>
        <v>15225.062</v>
      </c>
    </row>
    <row r="13" spans="1:10" x14ac:dyDescent="0.25">
      <c r="B13" s="195" t="s">
        <v>114</v>
      </c>
      <c r="C13" s="25" t="s">
        <v>32</v>
      </c>
      <c r="D13" s="189">
        <v>10434.147000000001</v>
      </c>
      <c r="E13" s="552">
        <f t="shared" si="0"/>
        <v>5.5813936395935432E-2</v>
      </c>
      <c r="H13" s="170" t="s">
        <v>397</v>
      </c>
      <c r="I13" s="170" t="s">
        <v>387</v>
      </c>
      <c r="J13" s="189">
        <f xml:space="preserve"> 6461.589</f>
        <v>6461.5889999999999</v>
      </c>
    </row>
    <row r="14" spans="1:10" x14ac:dyDescent="0.25">
      <c r="B14" s="195" t="s">
        <v>113</v>
      </c>
      <c r="C14" s="25" t="s">
        <v>606</v>
      </c>
      <c r="D14" s="189">
        <v>10372.34</v>
      </c>
      <c r="E14" s="552">
        <f t="shared" si="0"/>
        <v>5.5483320777157626E-2</v>
      </c>
      <c r="H14" s="170" t="s">
        <v>398</v>
      </c>
      <c r="I14" s="170" t="s">
        <v>388</v>
      </c>
      <c r="J14" s="189">
        <f>155.22</f>
        <v>155.22</v>
      </c>
    </row>
    <row r="15" spans="1:10" x14ac:dyDescent="0.25">
      <c r="B15" s="195" t="s">
        <v>112</v>
      </c>
      <c r="C15" s="24" t="s">
        <v>29</v>
      </c>
      <c r="D15" s="189">
        <v>3088.9870000000001</v>
      </c>
      <c r="E15" s="552">
        <f t="shared" si="0"/>
        <v>1.6523490031899245E-2</v>
      </c>
      <c r="H15" s="170" t="s">
        <v>399</v>
      </c>
      <c r="I15" s="170" t="s">
        <v>389</v>
      </c>
      <c r="J15" s="189">
        <f>9183.913</f>
        <v>9183.9130000000005</v>
      </c>
    </row>
    <row r="16" spans="1:10" x14ac:dyDescent="0.25">
      <c r="B16" s="195" t="s">
        <v>108</v>
      </c>
      <c r="C16" s="25" t="s">
        <v>25</v>
      </c>
      <c r="D16" s="189">
        <v>1419.079</v>
      </c>
      <c r="E16" s="552">
        <f t="shared" si="0"/>
        <v>7.5908826132895816E-3</v>
      </c>
      <c r="H16" s="170" t="s">
        <v>400</v>
      </c>
      <c r="I16" s="170" t="s">
        <v>390</v>
      </c>
      <c r="J16" s="189">
        <f>13347.902</f>
        <v>13347.902</v>
      </c>
    </row>
    <row r="17" spans="2:10" x14ac:dyDescent="0.25">
      <c r="B17" s="195" t="s">
        <v>110</v>
      </c>
      <c r="C17" s="25" t="s">
        <v>27</v>
      </c>
      <c r="D17" s="189">
        <v>1190.365</v>
      </c>
      <c r="E17" s="552">
        <f t="shared" si="0"/>
        <v>6.3674545123763044E-3</v>
      </c>
      <c r="H17" s="67" t="s">
        <v>401</v>
      </c>
      <c r="I17" s="67" t="s">
        <v>391</v>
      </c>
      <c r="J17" s="193">
        <f xml:space="preserve">  15450.773</f>
        <v>15450.772999999999</v>
      </c>
    </row>
    <row r="18" spans="2:10" x14ac:dyDescent="0.25">
      <c r="B18" s="195" t="s">
        <v>109</v>
      </c>
      <c r="C18" s="25" t="s">
        <v>26</v>
      </c>
      <c r="D18" s="189">
        <v>1190.3499999999999</v>
      </c>
      <c r="E18" s="552">
        <f t="shared" si="0"/>
        <v>6.3673742749552724E-3</v>
      </c>
    </row>
    <row r="19" spans="2:10" x14ac:dyDescent="0.25">
      <c r="B19" s="195" t="s">
        <v>120</v>
      </c>
      <c r="C19" s="170" t="s">
        <v>38</v>
      </c>
      <c r="D19" s="189">
        <v>800.57</v>
      </c>
      <c r="E19" s="552">
        <f t="shared" si="0"/>
        <v>4.2823781436560201E-3</v>
      </c>
    </row>
    <row r="20" spans="2:10" x14ac:dyDescent="0.25">
      <c r="B20" s="195" t="s">
        <v>119</v>
      </c>
      <c r="C20" s="25" t="s">
        <v>37</v>
      </c>
      <c r="D20" s="189">
        <v>710.69600000000003</v>
      </c>
      <c r="E20" s="552">
        <f t="shared" si="0"/>
        <v>3.8016276118062863E-3</v>
      </c>
    </row>
    <row r="21" spans="2:10" x14ac:dyDescent="0.25">
      <c r="B21" s="195" t="s">
        <v>117</v>
      </c>
      <c r="C21" s="25" t="s">
        <v>35</v>
      </c>
      <c r="D21" s="189">
        <v>611.70899999999995</v>
      </c>
      <c r="E21" s="552">
        <f t="shared" si="0"/>
        <v>3.272130172099479E-3</v>
      </c>
    </row>
    <row r="22" spans="2:10" x14ac:dyDescent="0.25">
      <c r="B22" s="195" t="s">
        <v>122</v>
      </c>
      <c r="C22" s="24" t="s">
        <v>40</v>
      </c>
      <c r="D22" s="623">
        <v>458.16</v>
      </c>
      <c r="E22" s="552">
        <f t="shared" si="0"/>
        <v>2.4507717879728719E-3</v>
      </c>
    </row>
    <row r="23" spans="2:10" x14ac:dyDescent="0.25">
      <c r="B23" s="195" t="s">
        <v>76</v>
      </c>
      <c r="C23" s="170" t="s">
        <v>30</v>
      </c>
      <c r="D23" s="189">
        <v>169.06800000000001</v>
      </c>
      <c r="E23" s="552">
        <f t="shared" si="0"/>
        <v>9.0437201992534812E-4</v>
      </c>
    </row>
    <row r="24" spans="2:10" x14ac:dyDescent="0.25">
      <c r="B24" s="195" t="s">
        <v>115</v>
      </c>
      <c r="C24" s="25" t="s">
        <v>33</v>
      </c>
      <c r="D24" s="189">
        <v>0</v>
      </c>
      <c r="E24" s="552">
        <f t="shared" si="0"/>
        <v>0</v>
      </c>
    </row>
    <row r="25" spans="2:10" x14ac:dyDescent="0.25">
      <c r="B25" s="195" t="s">
        <v>118</v>
      </c>
      <c r="C25" s="170" t="s">
        <v>36</v>
      </c>
      <c r="D25" s="189">
        <v>0</v>
      </c>
      <c r="E25" s="552">
        <f t="shared" si="0"/>
        <v>0</v>
      </c>
    </row>
    <row r="26" spans="2:10" x14ac:dyDescent="0.25">
      <c r="B26" s="196" t="s">
        <v>121</v>
      </c>
      <c r="C26" s="570" t="s">
        <v>39</v>
      </c>
      <c r="D26" s="519">
        <v>0</v>
      </c>
      <c r="E26" s="552">
        <f t="shared" si="0"/>
        <v>0</v>
      </c>
    </row>
    <row r="27" spans="2:10" x14ac:dyDescent="0.25">
      <c r="B27" s="196"/>
      <c r="C27" s="159" t="s">
        <v>8</v>
      </c>
      <c r="D27" s="145">
        <f>SUM(D8:D26)</f>
        <v>186945.19099999999</v>
      </c>
      <c r="E27" s="569">
        <f>+D27/$D$27</f>
        <v>1</v>
      </c>
    </row>
    <row r="28" spans="2:10" x14ac:dyDescent="0.25">
      <c r="B28" s="170"/>
      <c r="C28" s="78" t="s">
        <v>678</v>
      </c>
      <c r="D28" s="170"/>
      <c r="E28" s="170"/>
    </row>
    <row r="29" spans="2:10" x14ac:dyDescent="0.25">
      <c r="B29" s="170"/>
      <c r="C29" s="170" t="s">
        <v>604</v>
      </c>
      <c r="D29" s="170"/>
      <c r="E29" s="170"/>
    </row>
    <row r="30" spans="2:10" x14ac:dyDescent="0.25">
      <c r="B30" s="170"/>
      <c r="C30" s="170" t="s">
        <v>607</v>
      </c>
      <c r="D30" s="170"/>
      <c r="E30" s="170"/>
    </row>
    <row r="31" spans="2:10" x14ac:dyDescent="0.25">
      <c r="B31" s="170"/>
      <c r="C31" s="170" t="s">
        <v>609</v>
      </c>
      <c r="D31" s="170"/>
      <c r="E31" s="170"/>
    </row>
    <row r="32" spans="2:10" x14ac:dyDescent="0.25">
      <c r="B32" s="170"/>
      <c r="C32" s="170"/>
      <c r="D32" s="170"/>
    </row>
  </sheetData>
  <sheetProtection password="C69F" sheet="1" objects="1" scenarios="1"/>
  <sortState ref="B8:D26">
    <sortCondition descending="1" ref="D8:D26"/>
  </sortState>
  <mergeCells count="4">
    <mergeCell ref="C6:C7"/>
    <mergeCell ref="D6:D7"/>
    <mergeCell ref="E6:E7"/>
    <mergeCell ref="H6:J7"/>
  </mergeCells>
  <hyperlinks>
    <hyperlink ref="A1" location="ÍNDICE!A1" display="ÍNDICE"/>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N47"/>
  <sheetViews>
    <sheetView zoomScale="90" zoomScaleNormal="90" workbookViewId="0"/>
  </sheetViews>
  <sheetFormatPr baseColWidth="10" defaultRowHeight="15" x14ac:dyDescent="0.25"/>
  <cols>
    <col min="2" max="2" width="44.42578125" bestFit="1" customWidth="1"/>
    <col min="3" max="3" width="12.140625" bestFit="1" customWidth="1"/>
    <col min="4" max="4" width="13.7109375" customWidth="1"/>
    <col min="5" max="7" width="12" bestFit="1" customWidth="1"/>
  </cols>
  <sheetData>
    <row r="1" spans="1:14" x14ac:dyDescent="0.25">
      <c r="A1" s="59" t="s">
        <v>132</v>
      </c>
    </row>
    <row r="2" spans="1:14" x14ac:dyDescent="0.25">
      <c r="A2" s="1" t="s">
        <v>254</v>
      </c>
    </row>
    <row r="3" spans="1:14" s="64" customFormat="1" x14ac:dyDescent="0.25"/>
    <row r="4" spans="1:14" s="64" customFormat="1" x14ac:dyDescent="0.25">
      <c r="A4" s="58" t="s">
        <v>103</v>
      </c>
      <c r="B4" s="64" t="s">
        <v>632</v>
      </c>
    </row>
    <row r="5" spans="1:14" s="64" customFormat="1" x14ac:dyDescent="0.25"/>
    <row r="6" spans="1:14" x14ac:dyDescent="0.25">
      <c r="B6" s="658" t="s">
        <v>634</v>
      </c>
      <c r="C6" s="644"/>
      <c r="D6" s="644"/>
      <c r="E6" s="644"/>
      <c r="F6" s="644"/>
      <c r="G6" s="644"/>
      <c r="H6" s="644"/>
      <c r="I6" s="644"/>
      <c r="J6" s="644"/>
      <c r="K6" s="644"/>
      <c r="L6" s="659"/>
    </row>
    <row r="7" spans="1:14" x14ac:dyDescent="0.25">
      <c r="B7" s="693" t="s">
        <v>184</v>
      </c>
      <c r="C7" s="660" t="s">
        <v>5</v>
      </c>
      <c r="D7" s="671"/>
      <c r="E7" s="660" t="s">
        <v>51</v>
      </c>
      <c r="F7" s="671"/>
      <c r="G7" s="660" t="s">
        <v>6</v>
      </c>
      <c r="H7" s="671"/>
      <c r="I7" s="660" t="s">
        <v>7</v>
      </c>
      <c r="J7" s="671"/>
      <c r="K7" s="660" t="s">
        <v>8</v>
      </c>
      <c r="L7" s="671"/>
    </row>
    <row r="8" spans="1:14" ht="15.75" thickBot="1" x14ac:dyDescent="0.3">
      <c r="B8" s="694"/>
      <c r="C8" s="187" t="s">
        <v>185</v>
      </c>
      <c r="D8" s="188" t="s">
        <v>183</v>
      </c>
      <c r="E8" s="4" t="s">
        <v>185</v>
      </c>
      <c r="F8" s="188" t="s">
        <v>183</v>
      </c>
      <c r="G8" s="4" t="s">
        <v>185</v>
      </c>
      <c r="H8" s="188" t="s">
        <v>183</v>
      </c>
      <c r="I8" s="4" t="s">
        <v>185</v>
      </c>
      <c r="J8" s="188" t="s">
        <v>183</v>
      </c>
      <c r="K8" s="4" t="s">
        <v>185</v>
      </c>
      <c r="L8" s="188" t="s">
        <v>183</v>
      </c>
    </row>
    <row r="9" spans="1:14" ht="15.75" thickTop="1" x14ac:dyDescent="0.25">
      <c r="B9" s="87" t="s">
        <v>77</v>
      </c>
      <c r="C9" s="189">
        <v>0</v>
      </c>
      <c r="D9" s="633">
        <f>C9/$C$24</f>
        <v>0</v>
      </c>
      <c r="E9" s="189">
        <v>666.06396312499999</v>
      </c>
      <c r="F9" s="629">
        <f>E9/$E$24</f>
        <v>3.0677130954670437E-3</v>
      </c>
      <c r="G9" s="189">
        <v>1038.5909999999999</v>
      </c>
      <c r="H9" s="629">
        <f>G9/$G$24</f>
        <v>2.417208380063229E-2</v>
      </c>
      <c r="I9" s="189">
        <v>1275.98341</v>
      </c>
      <c r="J9" s="629">
        <f>I9/$I$24</f>
        <v>6.8254412106628203E-3</v>
      </c>
      <c r="K9" s="191">
        <v>2980.6383731250003</v>
      </c>
      <c r="L9" s="634">
        <f>K9/$K$24</f>
        <v>6.0530916347390608E-3</v>
      </c>
      <c r="N9" s="238"/>
    </row>
    <row r="10" spans="1:14" x14ac:dyDescent="0.25">
      <c r="B10" s="87" t="s">
        <v>79</v>
      </c>
      <c r="C10" s="189">
        <v>18.158000000000001</v>
      </c>
      <c r="D10" s="602">
        <f t="shared" ref="D10:D24" si="0">C10/$C$24</f>
        <v>4.001018330666997E-4</v>
      </c>
      <c r="E10" s="189">
        <v>5794.2999099999997</v>
      </c>
      <c r="F10" s="629">
        <f t="shared" ref="F10:F24" si="1">E10/$E$24</f>
        <v>2.6687001094570006E-2</v>
      </c>
      <c r="G10" s="189">
        <v>808.36223601600011</v>
      </c>
      <c r="H10" s="629">
        <f t="shared" ref="H10:H23" si="2">G10/$G$24</f>
        <v>1.881375797618625E-2</v>
      </c>
      <c r="I10" s="189">
        <v>22734.454507499999</v>
      </c>
      <c r="J10" s="629">
        <f t="shared" ref="J10:J23" si="3">I10/$I$24</f>
        <v>0.12161026662363079</v>
      </c>
      <c r="K10" s="191">
        <v>29355.274653516</v>
      </c>
      <c r="L10" s="634">
        <f t="shared" ref="L10:L23" si="4">K10/$K$24</f>
        <v>5.9614802333222666E-2</v>
      </c>
    </row>
    <row r="11" spans="1:14" x14ac:dyDescent="0.25">
      <c r="B11" s="87" t="s">
        <v>81</v>
      </c>
      <c r="C11" s="189">
        <v>363.4092</v>
      </c>
      <c r="D11" s="602">
        <f t="shared" si="0"/>
        <v>8.0075276502534903E-3</v>
      </c>
      <c r="E11" s="189">
        <v>1584.0450049999999</v>
      </c>
      <c r="F11" s="629">
        <f t="shared" si="1"/>
        <v>7.2956891149742291E-3</v>
      </c>
      <c r="G11" s="189">
        <v>254.38169593800001</v>
      </c>
      <c r="H11" s="629">
        <f t="shared" si="2"/>
        <v>5.9204592294370929E-3</v>
      </c>
      <c r="I11" s="189">
        <v>3114.7344349999998</v>
      </c>
      <c r="J11" s="629">
        <f t="shared" si="3"/>
        <v>1.6661217227675065E-2</v>
      </c>
      <c r="K11" s="191">
        <v>5316.5703359380004</v>
      </c>
      <c r="L11" s="634">
        <f t="shared" si="4"/>
        <v>1.0796911063124977E-2</v>
      </c>
    </row>
    <row r="12" spans="1:14" x14ac:dyDescent="0.25">
      <c r="B12" s="87" t="s">
        <v>83</v>
      </c>
      <c r="C12" s="189">
        <v>1676.5701112500001</v>
      </c>
      <c r="D12" s="602">
        <f t="shared" si="0"/>
        <v>3.694232706112819E-2</v>
      </c>
      <c r="E12" s="189">
        <v>2706.1031324999999</v>
      </c>
      <c r="F12" s="629">
        <f t="shared" si="1"/>
        <v>1.2463589800453879E-2</v>
      </c>
      <c r="G12" s="189">
        <v>2935.2487359399997</v>
      </c>
      <c r="H12" s="629">
        <f t="shared" si="2"/>
        <v>6.8314744130116359E-2</v>
      </c>
      <c r="I12" s="189">
        <v>1624.0789474999999</v>
      </c>
      <c r="J12" s="629">
        <f t="shared" si="3"/>
        <v>8.6874604252389128E-3</v>
      </c>
      <c r="K12" s="191">
        <v>8942.000927189998</v>
      </c>
      <c r="L12" s="634">
        <f t="shared" si="4"/>
        <v>1.8159449163051074E-2</v>
      </c>
    </row>
    <row r="13" spans="1:14" x14ac:dyDescent="0.25">
      <c r="B13" s="87" t="s">
        <v>85</v>
      </c>
      <c r="C13" s="189">
        <v>1287.15308</v>
      </c>
      <c r="D13" s="602">
        <f t="shared" si="0"/>
        <v>2.836173073826679E-2</v>
      </c>
      <c r="E13" s="189">
        <v>27602.393788099998</v>
      </c>
      <c r="F13" s="629">
        <f t="shared" si="1"/>
        <v>0.12712926922620701</v>
      </c>
      <c r="G13" s="189">
        <v>7491.2395159399994</v>
      </c>
      <c r="H13" s="629">
        <f t="shared" si="2"/>
        <v>0.17435050886240086</v>
      </c>
      <c r="I13" s="189">
        <v>19127.413894500001</v>
      </c>
      <c r="J13" s="629">
        <f t="shared" si="3"/>
        <v>0.10231562418897354</v>
      </c>
      <c r="K13" s="191">
        <v>55508.200278539996</v>
      </c>
      <c r="L13" s="634">
        <f t="shared" si="4"/>
        <v>0.1127262621977121</v>
      </c>
    </row>
    <row r="14" spans="1:14" x14ac:dyDescent="0.25">
      <c r="B14" s="87" t="s">
        <v>87</v>
      </c>
      <c r="C14" s="189">
        <v>1573.934</v>
      </c>
      <c r="D14" s="602">
        <f t="shared" si="0"/>
        <v>3.4680795160590534E-2</v>
      </c>
      <c r="E14" s="189">
        <v>284.95013999999998</v>
      </c>
      <c r="F14" s="629">
        <f t="shared" si="1"/>
        <v>1.3124044002199183E-3</v>
      </c>
      <c r="G14" s="189">
        <v>179.07254</v>
      </c>
      <c r="H14" s="629">
        <f t="shared" si="2"/>
        <v>4.1677199622104167E-3</v>
      </c>
      <c r="I14" s="189">
        <v>8963.8884762500002</v>
      </c>
      <c r="J14" s="629">
        <f t="shared" si="3"/>
        <v>4.7949286279186265E-2</v>
      </c>
      <c r="K14" s="191">
        <v>11001.845156249999</v>
      </c>
      <c r="L14" s="634">
        <f t="shared" si="4"/>
        <v>2.2342588581844878E-2</v>
      </c>
    </row>
    <row r="15" spans="1:14" x14ac:dyDescent="0.25">
      <c r="B15" s="87" t="s">
        <v>89</v>
      </c>
      <c r="C15" s="189">
        <v>1443.9381800000001</v>
      </c>
      <c r="D15" s="602">
        <f t="shared" si="0"/>
        <v>3.1816406688676843E-2</v>
      </c>
      <c r="E15" s="189">
        <v>4138.8881316200004</v>
      </c>
      <c r="F15" s="629">
        <f t="shared" si="1"/>
        <v>1.9062615642007005E-2</v>
      </c>
      <c r="G15" s="189">
        <v>486.361541875</v>
      </c>
      <c r="H15" s="629">
        <f t="shared" si="2"/>
        <v>1.1319539595092999E-2</v>
      </c>
      <c r="I15" s="189">
        <v>4662.4369299999998</v>
      </c>
      <c r="J15" s="629">
        <f t="shared" si="3"/>
        <v>2.4940127680921999E-2</v>
      </c>
      <c r="K15" s="191">
        <v>10731.624783495001</v>
      </c>
      <c r="L15" s="634">
        <f t="shared" si="4"/>
        <v>2.1793824031066965E-2</v>
      </c>
    </row>
    <row r="16" spans="1:14" x14ac:dyDescent="0.25">
      <c r="B16" s="87" t="s">
        <v>91</v>
      </c>
      <c r="C16" s="189">
        <v>4148.4642199999998</v>
      </c>
      <c r="D16" s="602">
        <f t="shared" si="0"/>
        <v>9.1409193679569137E-2</v>
      </c>
      <c r="E16" s="189">
        <v>18668.980091900001</v>
      </c>
      <c r="F16" s="629">
        <f t="shared" si="1"/>
        <v>8.5984346665797809E-2</v>
      </c>
      <c r="G16" s="189">
        <v>2103.3371059400001</v>
      </c>
      <c r="H16" s="629">
        <f t="shared" si="2"/>
        <v>4.8952899443343037E-2</v>
      </c>
      <c r="I16" s="189">
        <v>10776.247499999999</v>
      </c>
      <c r="J16" s="629">
        <f t="shared" si="3"/>
        <v>5.7643887221701565E-2</v>
      </c>
      <c r="K16" s="191">
        <v>35697.028917839998</v>
      </c>
      <c r="L16" s="634">
        <f t="shared" si="4"/>
        <v>7.2493660779476887E-2</v>
      </c>
    </row>
    <row r="17" spans="2:13" x14ac:dyDescent="0.25">
      <c r="B17" s="87" t="s">
        <v>186</v>
      </c>
      <c r="C17" s="189">
        <v>3589.45388</v>
      </c>
      <c r="D17" s="602">
        <f t="shared" si="0"/>
        <v>7.9091699366470841E-2</v>
      </c>
      <c r="E17" s="189">
        <v>4690.8149968799999</v>
      </c>
      <c r="F17" s="629">
        <f t="shared" si="1"/>
        <v>2.1604643684410525E-2</v>
      </c>
      <c r="G17" s="189">
        <v>1051.1432359400001</v>
      </c>
      <c r="H17" s="629">
        <f t="shared" si="2"/>
        <v>2.4464223535163972E-2</v>
      </c>
      <c r="I17" s="189">
        <v>2975.1671299999998</v>
      </c>
      <c r="J17" s="629">
        <f t="shared" si="3"/>
        <v>1.5914649186317735E-2</v>
      </c>
      <c r="K17" s="191">
        <v>12306.57924282</v>
      </c>
      <c r="L17" s="634">
        <f t="shared" si="4"/>
        <v>2.4992247479141968E-2</v>
      </c>
    </row>
    <row r="18" spans="2:13" x14ac:dyDescent="0.25">
      <c r="B18" s="87" t="s">
        <v>96</v>
      </c>
      <c r="C18" s="189">
        <v>2362.13184</v>
      </c>
      <c r="D18" s="602">
        <f t="shared" si="0"/>
        <v>5.204831364297919E-2</v>
      </c>
      <c r="E18" s="189">
        <v>1465.37190594</v>
      </c>
      <c r="F18" s="629">
        <f t="shared" si="1"/>
        <v>6.7491124493369416E-3</v>
      </c>
      <c r="G18" s="189">
        <v>4300.9845240599998</v>
      </c>
      <c r="H18" s="629">
        <f t="shared" si="2"/>
        <v>0.10010076954335337</v>
      </c>
      <c r="I18" s="189">
        <v>10272.324698</v>
      </c>
      <c r="J18" s="629">
        <f t="shared" si="3"/>
        <v>5.4948322817957883E-2</v>
      </c>
      <c r="K18" s="191">
        <v>18400.812967999998</v>
      </c>
      <c r="L18" s="634">
        <f t="shared" si="4"/>
        <v>3.7368440282214588E-2</v>
      </c>
    </row>
    <row r="19" spans="2:13" x14ac:dyDescent="0.25">
      <c r="B19" s="87" t="s">
        <v>98</v>
      </c>
      <c r="C19" s="189">
        <v>1202.4953800000001</v>
      </c>
      <c r="D19" s="602">
        <f t="shared" si="0"/>
        <v>2.6496343528595527E-2</v>
      </c>
      <c r="E19" s="189">
        <v>163.35424898399998</v>
      </c>
      <c r="F19" s="629">
        <f t="shared" si="1"/>
        <v>7.5236613381281974E-4</v>
      </c>
      <c r="G19" s="189">
        <v>611.09279000000004</v>
      </c>
      <c r="H19" s="629">
        <f t="shared" si="2"/>
        <v>1.4222524679919423E-2</v>
      </c>
      <c r="I19" s="189">
        <v>124.27</v>
      </c>
      <c r="J19" s="629">
        <f t="shared" si="3"/>
        <v>6.6474028784517557E-4</v>
      </c>
      <c r="K19" s="191">
        <v>2101.2124189840001</v>
      </c>
      <c r="L19" s="634">
        <f t="shared" si="4"/>
        <v>4.2671500947050588E-3</v>
      </c>
    </row>
    <row r="20" spans="2:13" x14ac:dyDescent="0.25">
      <c r="B20" s="87" t="s">
        <v>100</v>
      </c>
      <c r="C20" s="189">
        <v>2649.0619999999999</v>
      </c>
      <c r="D20" s="602">
        <f t="shared" si="0"/>
        <v>5.8370666489004158E-2</v>
      </c>
      <c r="E20" s="189">
        <v>1052.059405</v>
      </c>
      <c r="F20" s="629">
        <f t="shared" si="1"/>
        <v>4.8455052256326289E-3</v>
      </c>
      <c r="G20" s="189">
        <v>1328.80313</v>
      </c>
      <c r="H20" s="629">
        <f t="shared" si="2"/>
        <v>3.0926457684403667E-2</v>
      </c>
      <c r="I20" s="189">
        <v>442.93470000000002</v>
      </c>
      <c r="J20" s="629">
        <f t="shared" si="3"/>
        <v>2.3693292023385893E-3</v>
      </c>
      <c r="K20" s="191">
        <v>5472.8592349999999</v>
      </c>
      <c r="L20" s="634">
        <f t="shared" si="4"/>
        <v>1.1114303148003397E-2</v>
      </c>
    </row>
    <row r="21" spans="2:13" x14ac:dyDescent="0.25">
      <c r="B21" s="87" t="s">
        <v>102</v>
      </c>
      <c r="C21" s="189">
        <v>24023.322199999999</v>
      </c>
      <c r="D21" s="602">
        <f t="shared" si="0"/>
        <v>0.52934107548033593</v>
      </c>
      <c r="E21" s="189">
        <v>137826.379033</v>
      </c>
      <c r="F21" s="629">
        <f t="shared" si="1"/>
        <v>0.63479156848032259</v>
      </c>
      <c r="G21" s="189">
        <v>14515.65223</v>
      </c>
      <c r="H21" s="629">
        <f t="shared" si="2"/>
        <v>0.33783612810470631</v>
      </c>
      <c r="I21" s="189">
        <v>85101.626303099998</v>
      </c>
      <c r="J21" s="629">
        <f t="shared" si="3"/>
        <v>0.45522233495465725</v>
      </c>
      <c r="K21" s="191">
        <v>261466.9797661</v>
      </c>
      <c r="L21" s="634">
        <f t="shared" si="4"/>
        <v>0.53098812732633816</v>
      </c>
    </row>
    <row r="22" spans="2:13" x14ac:dyDescent="0.25">
      <c r="B22" s="87" t="s">
        <v>94</v>
      </c>
      <c r="C22" s="189">
        <v>1023.92774</v>
      </c>
      <c r="D22" s="602">
        <f t="shared" si="0"/>
        <v>2.2561700941835173E-2</v>
      </c>
      <c r="E22" s="189">
        <v>8626.0753499999992</v>
      </c>
      <c r="F22" s="629">
        <f t="shared" si="1"/>
        <v>3.9729404049313931E-2</v>
      </c>
      <c r="G22" s="189">
        <v>5126.3095446899997</v>
      </c>
      <c r="H22" s="629">
        <f t="shared" si="2"/>
        <v>0.11930931801087036</v>
      </c>
      <c r="I22" s="189">
        <v>1021.2828925</v>
      </c>
      <c r="J22" s="629">
        <f t="shared" si="3"/>
        <v>5.4630070325243701E-3</v>
      </c>
      <c r="K22" s="191">
        <v>15797.595527189998</v>
      </c>
      <c r="L22" s="634">
        <f t="shared" si="4"/>
        <v>3.2081816498379608E-2</v>
      </c>
    </row>
    <row r="23" spans="2:13" x14ac:dyDescent="0.25">
      <c r="B23" s="87" t="s">
        <v>75</v>
      </c>
      <c r="C23" s="189">
        <v>21.42633</v>
      </c>
      <c r="D23" s="602">
        <f t="shared" si="0"/>
        <v>4.7211773922744904E-4</v>
      </c>
      <c r="E23" s="189">
        <v>1850.90409</v>
      </c>
      <c r="F23" s="629">
        <f t="shared" si="1"/>
        <v>8.5247709374736361E-3</v>
      </c>
      <c r="G23" s="189">
        <v>735.96821999999997</v>
      </c>
      <c r="H23" s="629">
        <f t="shared" si="2"/>
        <v>1.7128865442163646E-2</v>
      </c>
      <c r="I23" s="189">
        <v>14728.347060399999</v>
      </c>
      <c r="J23" s="629">
        <f t="shared" si="3"/>
        <v>7.8784305660368079E-2</v>
      </c>
      <c r="K23" s="191">
        <v>17336.6457004</v>
      </c>
      <c r="L23" s="634">
        <f t="shared" si="4"/>
        <v>3.5207325386978509E-2</v>
      </c>
      <c r="M23" s="140"/>
    </row>
    <row r="24" spans="2:13" x14ac:dyDescent="0.25">
      <c r="B24" s="88" t="s">
        <v>8</v>
      </c>
      <c r="C24" s="190">
        <f>SUM(C9:C23)</f>
        <v>45383.446161250002</v>
      </c>
      <c r="D24" s="186">
        <f t="shared" si="0"/>
        <v>1</v>
      </c>
      <c r="E24" s="190">
        <f>SUM(E9:E23)</f>
        <v>217120.68319204901</v>
      </c>
      <c r="F24" s="186">
        <f t="shared" si="1"/>
        <v>1</v>
      </c>
      <c r="G24" s="190">
        <f>SUM(G9:G23)</f>
        <v>42966.548046338998</v>
      </c>
      <c r="H24" s="186">
        <f>G24/G24</f>
        <v>1</v>
      </c>
      <c r="I24" s="190">
        <f>SUM(I9:I23)</f>
        <v>186945.19088474999</v>
      </c>
      <c r="J24" s="186">
        <f>I24/I24</f>
        <v>1</v>
      </c>
      <c r="K24" s="190">
        <f>SUM(K9:K23)</f>
        <v>492415.86828438804</v>
      </c>
      <c r="L24" s="186">
        <f>K24/K24</f>
        <v>1</v>
      </c>
    </row>
    <row r="25" spans="2:13" x14ac:dyDescent="0.25">
      <c r="B25" s="89" t="s">
        <v>275</v>
      </c>
    </row>
    <row r="27" spans="2:13" x14ac:dyDescent="0.25">
      <c r="C27" s="140"/>
      <c r="K27" s="147"/>
    </row>
    <row r="28" spans="2:13" x14ac:dyDescent="0.25">
      <c r="B28" s="658" t="s">
        <v>633</v>
      </c>
      <c r="C28" s="644"/>
      <c r="D28" s="644"/>
      <c r="E28" s="644"/>
      <c r="F28" s="644"/>
      <c r="G28" s="644"/>
      <c r="H28" s="644"/>
      <c r="I28" s="644"/>
      <c r="J28" s="644"/>
      <c r="K28" s="644"/>
      <c r="L28" s="659"/>
      <c r="M28" s="204"/>
    </row>
    <row r="29" spans="2:13" x14ac:dyDescent="0.25">
      <c r="B29" s="693" t="s">
        <v>184</v>
      </c>
      <c r="C29" s="660" t="s">
        <v>5</v>
      </c>
      <c r="D29" s="671"/>
      <c r="E29" s="660" t="s">
        <v>51</v>
      </c>
      <c r="F29" s="671"/>
      <c r="G29" s="660" t="s">
        <v>6</v>
      </c>
      <c r="H29" s="671"/>
      <c r="I29" s="660" t="s">
        <v>7</v>
      </c>
      <c r="J29" s="671"/>
      <c r="K29" s="660" t="s">
        <v>8</v>
      </c>
      <c r="L29" s="671"/>
      <c r="M29" s="204"/>
    </row>
    <row r="30" spans="2:13" ht="15.75" thickBot="1" x14ac:dyDescent="0.3">
      <c r="B30" s="694"/>
      <c r="C30" s="187" t="s">
        <v>185</v>
      </c>
      <c r="D30" s="188" t="s">
        <v>183</v>
      </c>
      <c r="E30" s="4" t="s">
        <v>185</v>
      </c>
      <c r="F30" s="188" t="s">
        <v>183</v>
      </c>
      <c r="G30" s="4" t="s">
        <v>185</v>
      </c>
      <c r="H30" s="188" t="s">
        <v>183</v>
      </c>
      <c r="I30" s="4" t="s">
        <v>185</v>
      </c>
      <c r="J30" s="188" t="s">
        <v>183</v>
      </c>
      <c r="K30" s="4" t="s">
        <v>185</v>
      </c>
      <c r="L30" s="188" t="s">
        <v>183</v>
      </c>
      <c r="M30" s="204"/>
    </row>
    <row r="31" spans="2:13" ht="15.75" thickTop="1" x14ac:dyDescent="0.25">
      <c r="B31" s="87" t="s">
        <v>77</v>
      </c>
      <c r="C31" s="189">
        <v>0</v>
      </c>
      <c r="D31" s="635">
        <f>C31/$C$46</f>
        <v>0</v>
      </c>
      <c r="E31" s="189">
        <v>838.41561249999995</v>
      </c>
      <c r="F31" s="629">
        <f>E31/$E$46</f>
        <v>3.9783592903345167E-3</v>
      </c>
      <c r="G31" s="189">
        <v>103.03872</v>
      </c>
      <c r="H31" s="636">
        <f>G31/$G$46</f>
        <v>4.6018661721846446E-3</v>
      </c>
      <c r="I31" s="189">
        <v>1183.4811099999999</v>
      </c>
      <c r="J31" s="629">
        <f>I31/$I$46</f>
        <v>6.3093920673456608E-3</v>
      </c>
      <c r="K31" s="191">
        <f>SUM(C31+E31+G31+I31)</f>
        <v>2124.9354425000001</v>
      </c>
      <c r="L31" s="634">
        <f>K31/$K$46</f>
        <v>4.5627505878501531E-3</v>
      </c>
      <c r="M31" s="204"/>
    </row>
    <row r="32" spans="2:13" x14ac:dyDescent="0.25">
      <c r="B32" s="87" t="s">
        <v>79</v>
      </c>
      <c r="C32" s="189">
        <v>0</v>
      </c>
      <c r="D32" s="635">
        <f t="shared" ref="D32:D45" si="5">C32/$C$46</f>
        <v>0</v>
      </c>
      <c r="E32" s="189">
        <v>8308.49482102</v>
      </c>
      <c r="F32" s="629">
        <f t="shared" ref="F32:F45" si="6">E32/$E$46</f>
        <v>3.94245730483712E-2</v>
      </c>
      <c r="G32" s="189">
        <v>498.86311499999999</v>
      </c>
      <c r="H32" s="636">
        <f t="shared" ref="H32:H45" si="7">G32/$G$46</f>
        <v>2.2279986528065936E-2</v>
      </c>
      <c r="I32" s="189">
        <v>12784.7804669</v>
      </c>
      <c r="J32" s="629">
        <f t="shared" ref="J32:J45" si="8">I32/$I$46</f>
        <v>6.8158411468531688E-2</v>
      </c>
      <c r="K32" s="191">
        <f t="shared" ref="K32:K45" si="9">SUM(C32+E32+G32+I32)</f>
        <v>21592.138402919998</v>
      </c>
      <c r="L32" s="634">
        <f t="shared" ref="L32:L45" si="10">K32/$K$46</f>
        <v>4.636354602611184E-2</v>
      </c>
      <c r="M32" s="204"/>
    </row>
    <row r="33" spans="2:13" x14ac:dyDescent="0.25">
      <c r="B33" s="87" t="s">
        <v>81</v>
      </c>
      <c r="C33" s="189">
        <v>0</v>
      </c>
      <c r="D33" s="635">
        <f t="shared" si="5"/>
        <v>0</v>
      </c>
      <c r="E33" s="189">
        <v>736.66596125000001</v>
      </c>
      <c r="F33" s="629">
        <f>E33/$E$46</f>
        <v>3.4955478251094047E-3</v>
      </c>
      <c r="G33" s="189">
        <v>0</v>
      </c>
      <c r="H33" s="636">
        <f t="shared" si="7"/>
        <v>0</v>
      </c>
      <c r="I33" s="189">
        <v>2256.5436500000001</v>
      </c>
      <c r="J33" s="629">
        <f t="shared" si="8"/>
        <v>1.2030119014683068E-2</v>
      </c>
      <c r="K33" s="191">
        <f t="shared" si="9"/>
        <v>2993.2096112500003</v>
      </c>
      <c r="L33" s="634">
        <f t="shared" si="10"/>
        <v>6.4271453335174285E-3</v>
      </c>
      <c r="M33" s="204"/>
    </row>
    <row r="34" spans="2:13" x14ac:dyDescent="0.25">
      <c r="B34" s="87" t="s">
        <v>83</v>
      </c>
      <c r="C34" s="189">
        <v>2085.20559</v>
      </c>
      <c r="D34" s="635">
        <f>C34/$C$46</f>
        <v>4.633328416749273E-2</v>
      </c>
      <c r="E34" s="189">
        <v>2865.3009837499999</v>
      </c>
      <c r="F34" s="629">
        <f t="shared" si="6"/>
        <v>1.3596117031165663E-2</v>
      </c>
      <c r="G34" s="189">
        <v>1997.1747600000001</v>
      </c>
      <c r="H34" s="636">
        <f t="shared" si="7"/>
        <v>8.9196866653477314E-2</v>
      </c>
      <c r="I34" s="189">
        <v>2944.9344662499998</v>
      </c>
      <c r="J34" s="629">
        <f t="shared" si="8"/>
        <v>1.5700078356308177E-2</v>
      </c>
      <c r="K34" s="191">
        <f t="shared" si="9"/>
        <v>9892.6157999999996</v>
      </c>
      <c r="L34" s="634">
        <f t="shared" si="10"/>
        <v>2.1241839942074243E-2</v>
      </c>
      <c r="M34" s="204"/>
    </row>
    <row r="35" spans="2:13" x14ac:dyDescent="0.25">
      <c r="B35" s="87" t="s">
        <v>85</v>
      </c>
      <c r="C35" s="189">
        <v>1099.36762</v>
      </c>
      <c r="D35" s="635">
        <f t="shared" si="5"/>
        <v>2.4427956929657071E-2</v>
      </c>
      <c r="E35" s="189">
        <v>25700.655842800003</v>
      </c>
      <c r="F35" s="629">
        <f t="shared" si="6"/>
        <v>0.12195197872689122</v>
      </c>
      <c r="G35" s="189">
        <v>510.89789999999999</v>
      </c>
      <c r="H35" s="636">
        <f t="shared" si="7"/>
        <v>2.2817478356196325E-2</v>
      </c>
      <c r="I35" s="189">
        <v>31159.5268775</v>
      </c>
      <c r="J35" s="629">
        <f t="shared" si="8"/>
        <v>0.16611813238247833</v>
      </c>
      <c r="K35" s="191">
        <f t="shared" si="9"/>
        <v>58470.4482403</v>
      </c>
      <c r="L35" s="634">
        <f t="shared" si="10"/>
        <v>0.12555020107642201</v>
      </c>
      <c r="M35" s="204"/>
    </row>
    <row r="36" spans="2:13" x14ac:dyDescent="0.25">
      <c r="B36" s="87" t="s">
        <v>87</v>
      </c>
      <c r="C36" s="189">
        <v>1743.4220399999999</v>
      </c>
      <c r="D36" s="635">
        <f t="shared" si="5"/>
        <v>3.8738851070886426E-2</v>
      </c>
      <c r="E36" s="189">
        <v>817.43817640599991</v>
      </c>
      <c r="F36" s="629">
        <f t="shared" si="6"/>
        <v>3.8788194242732033E-3</v>
      </c>
      <c r="G36" s="189">
        <v>1.0587800000000001</v>
      </c>
      <c r="H36" s="636">
        <f t="shared" si="7"/>
        <v>4.7286727414564721E-5</v>
      </c>
      <c r="I36" s="189">
        <v>10128.230257499999</v>
      </c>
      <c r="J36" s="629">
        <f t="shared" si="8"/>
        <v>5.3995771544609439E-2</v>
      </c>
      <c r="K36" s="191">
        <f t="shared" si="9"/>
        <v>12690.149253905998</v>
      </c>
      <c r="L36" s="634">
        <f t="shared" si="10"/>
        <v>2.7248821215972434E-2</v>
      </c>
      <c r="M36" s="204"/>
    </row>
    <row r="37" spans="2:13" x14ac:dyDescent="0.25">
      <c r="B37" s="87" t="s">
        <v>89</v>
      </c>
      <c r="C37" s="189">
        <v>1415.569</v>
      </c>
      <c r="D37" s="635">
        <f t="shared" si="5"/>
        <v>3.1453954013087752E-2</v>
      </c>
      <c r="E37" s="189">
        <v>4445.4073074199996</v>
      </c>
      <c r="F37" s="629">
        <f t="shared" si="6"/>
        <v>2.1093867047705179E-2</v>
      </c>
      <c r="G37" s="189">
        <v>225.63081500000001</v>
      </c>
      <c r="H37" s="636">
        <f t="shared" si="7"/>
        <v>1.0077015853369993E-2</v>
      </c>
      <c r="I37" s="189">
        <v>889.32384624999997</v>
      </c>
      <c r="J37" s="629">
        <f t="shared" si="8"/>
        <v>4.7411764948500799E-3</v>
      </c>
      <c r="K37" s="191">
        <f t="shared" si="9"/>
        <v>6975.9309686700008</v>
      </c>
      <c r="L37" s="634">
        <f t="shared" si="10"/>
        <v>1.4979011828544589E-2</v>
      </c>
      <c r="M37" s="204"/>
    </row>
    <row r="38" spans="2:13" x14ac:dyDescent="0.25">
      <c r="B38" s="87" t="s">
        <v>91</v>
      </c>
      <c r="C38" s="189">
        <v>3748.41264</v>
      </c>
      <c r="D38" s="635">
        <f t="shared" si="5"/>
        <v>8.328975754670867E-2</v>
      </c>
      <c r="E38" s="189">
        <v>15235.111180100001</v>
      </c>
      <c r="F38" s="629">
        <f t="shared" si="6"/>
        <v>7.2292005538756712E-2</v>
      </c>
      <c r="G38" s="189">
        <v>1969.74179</v>
      </c>
      <c r="H38" s="636">
        <f t="shared" si="7"/>
        <v>8.7971668430464098E-2</v>
      </c>
      <c r="I38" s="189">
        <v>7985.5020662500001</v>
      </c>
      <c r="J38" s="629">
        <f t="shared" si="8"/>
        <v>4.2572427193679617E-2</v>
      </c>
      <c r="K38" s="191">
        <f t="shared" si="9"/>
        <v>28938.767676349999</v>
      </c>
      <c r="L38" s="634">
        <f t="shared" si="10"/>
        <v>6.2138536816713177E-2</v>
      </c>
      <c r="M38" s="204"/>
    </row>
    <row r="39" spans="2:13" x14ac:dyDescent="0.25">
      <c r="B39" s="87" t="s">
        <v>186</v>
      </c>
      <c r="C39" s="189">
        <v>3477.4660800000001</v>
      </c>
      <c r="D39" s="635">
        <f t="shared" si="5"/>
        <v>7.7269322910004767E-2</v>
      </c>
      <c r="E39" s="189">
        <v>7886.2613090599998</v>
      </c>
      <c r="F39" s="629">
        <f t="shared" si="6"/>
        <v>3.7421036150975182E-2</v>
      </c>
      <c r="G39" s="189">
        <v>947.04416000000003</v>
      </c>
      <c r="H39" s="636">
        <f t="shared" si="7"/>
        <v>4.2296434616705465E-2</v>
      </c>
      <c r="I39" s="189">
        <v>5075.6293662500002</v>
      </c>
      <c r="J39" s="629">
        <f t="shared" si="8"/>
        <v>2.7059270646241609E-2</v>
      </c>
      <c r="K39" s="191">
        <f t="shared" si="9"/>
        <v>17386.400915310001</v>
      </c>
      <c r="L39" s="634">
        <f t="shared" si="10"/>
        <v>3.7332809934026573E-2</v>
      </c>
      <c r="M39" s="204"/>
    </row>
    <row r="40" spans="2:13" x14ac:dyDescent="0.25">
      <c r="B40" s="87" t="s">
        <v>96</v>
      </c>
      <c r="C40" s="189">
        <v>1858.2254399999999</v>
      </c>
      <c r="D40" s="635">
        <f t="shared" si="5"/>
        <v>4.1289783497455615E-2</v>
      </c>
      <c r="E40" s="189">
        <v>1379.62041172</v>
      </c>
      <c r="F40" s="629">
        <f t="shared" si="6"/>
        <v>6.5464259017497632E-3</v>
      </c>
      <c r="G40" s="189">
        <v>1895.2300949999999</v>
      </c>
      <c r="H40" s="636">
        <f t="shared" si="7"/>
        <v>8.4643862643934142E-2</v>
      </c>
      <c r="I40" s="189">
        <v>6127.3795200000004</v>
      </c>
      <c r="J40" s="629">
        <f t="shared" si="8"/>
        <v>3.2666376683531742E-2</v>
      </c>
      <c r="K40" s="191">
        <f t="shared" si="9"/>
        <v>11260.455466719999</v>
      </c>
      <c r="L40" s="634">
        <f t="shared" si="10"/>
        <v>2.41789226969596E-2</v>
      </c>
      <c r="M40" s="204"/>
    </row>
    <row r="41" spans="2:13" x14ac:dyDescent="0.25">
      <c r="B41" s="87" t="s">
        <v>98</v>
      </c>
      <c r="C41" s="189">
        <v>810.85928999999999</v>
      </c>
      <c r="D41" s="635">
        <f t="shared" si="5"/>
        <v>1.8017299629156179E-2</v>
      </c>
      <c r="E41" s="189">
        <v>129.59462124999999</v>
      </c>
      <c r="F41" s="629">
        <f t="shared" si="6"/>
        <v>6.1493841209608966E-4</v>
      </c>
      <c r="G41" s="189">
        <v>8.4702400000000004</v>
      </c>
      <c r="H41" s="636">
        <f t="shared" si="7"/>
        <v>3.7829381931651777E-4</v>
      </c>
      <c r="I41" s="189">
        <v>216.45437999999999</v>
      </c>
      <c r="J41" s="629">
        <f t="shared" si="8"/>
        <v>1.1539648048241541E-3</v>
      </c>
      <c r="K41" s="191">
        <f t="shared" si="9"/>
        <v>1165.3785312499999</v>
      </c>
      <c r="L41" s="634">
        <f t="shared" si="10"/>
        <v>2.5023497053976427E-3</v>
      </c>
      <c r="M41" s="204"/>
    </row>
    <row r="42" spans="2:13" x14ac:dyDescent="0.25">
      <c r="B42" s="87" t="s">
        <v>100</v>
      </c>
      <c r="C42" s="189">
        <v>2715.1019999999999</v>
      </c>
      <c r="D42" s="635">
        <f t="shared" si="5"/>
        <v>6.0329587218173455E-2</v>
      </c>
      <c r="E42" s="189">
        <v>1653.2787599999999</v>
      </c>
      <c r="F42" s="629">
        <f t="shared" si="6"/>
        <v>7.8449599653164018E-3</v>
      </c>
      <c r="G42" s="189">
        <v>930.01432</v>
      </c>
      <c r="H42" s="636">
        <f t="shared" si="7"/>
        <v>4.1535856024369336E-2</v>
      </c>
      <c r="I42" s="189">
        <v>107.18702999999999</v>
      </c>
      <c r="J42" s="629">
        <f t="shared" si="8"/>
        <v>5.7143708597456302E-4</v>
      </c>
      <c r="K42" s="191">
        <f t="shared" si="9"/>
        <v>5405.5821100000003</v>
      </c>
      <c r="L42" s="634">
        <f t="shared" si="10"/>
        <v>1.1607092835280228E-2</v>
      </c>
      <c r="M42" s="204"/>
    </row>
    <row r="43" spans="2:13" x14ac:dyDescent="0.25">
      <c r="B43" s="87" t="s">
        <v>102</v>
      </c>
      <c r="C43" s="189">
        <v>25458.606360000002</v>
      </c>
      <c r="D43" s="635">
        <f t="shared" si="5"/>
        <v>0.565690428149206</v>
      </c>
      <c r="E43" s="189">
        <v>132261.91261</v>
      </c>
      <c r="F43" s="629">
        <f t="shared" si="6"/>
        <v>0.62759495522801401</v>
      </c>
      <c r="G43" s="189">
        <v>8464.543635</v>
      </c>
      <c r="H43" s="636">
        <f t="shared" si="7"/>
        <v>0.37803941097955551</v>
      </c>
      <c r="I43" s="189">
        <v>92614.468142500002</v>
      </c>
      <c r="J43" s="629">
        <f t="shared" si="8"/>
        <v>0.49374762780939269</v>
      </c>
      <c r="K43" s="191">
        <f t="shared" si="9"/>
        <v>258799.53074750002</v>
      </c>
      <c r="L43" s="634">
        <f t="shared" si="10"/>
        <v>0.55570521693790209</v>
      </c>
      <c r="M43" s="204"/>
    </row>
    <row r="44" spans="2:13" x14ac:dyDescent="0.25">
      <c r="B44" s="87" t="s">
        <v>94</v>
      </c>
      <c r="C44" s="189">
        <v>590.48965999999996</v>
      </c>
      <c r="D44" s="635">
        <f t="shared" si="5"/>
        <v>1.3120684764108157E-2</v>
      </c>
      <c r="E44" s="189">
        <v>7207.05423875</v>
      </c>
      <c r="F44" s="629">
        <f t="shared" si="6"/>
        <v>3.4198136054719303E-2</v>
      </c>
      <c r="G44" s="189">
        <v>4838.92976</v>
      </c>
      <c r="H44" s="636">
        <f t="shared" si="7"/>
        <v>0.21611397319494613</v>
      </c>
      <c r="I44" s="189">
        <v>1034.6071400000001</v>
      </c>
      <c r="J44" s="629">
        <f t="shared" si="8"/>
        <v>5.5157129478265879E-3</v>
      </c>
      <c r="K44" s="191">
        <f t="shared" si="9"/>
        <v>13671.080798750001</v>
      </c>
      <c r="L44" s="634">
        <f t="shared" si="10"/>
        <v>2.9355118608994403E-2</v>
      </c>
      <c r="M44" s="204"/>
    </row>
    <row r="45" spans="2:13" x14ac:dyDescent="0.25">
      <c r="B45" s="87" t="s">
        <v>75</v>
      </c>
      <c r="C45" s="189">
        <v>1.7592300000000001</v>
      </c>
      <c r="D45" s="635">
        <f t="shared" si="5"/>
        <v>3.9090104063061824E-5</v>
      </c>
      <c r="E45" s="189">
        <v>1278.854075</v>
      </c>
      <c r="F45" s="629">
        <f t="shared" si="6"/>
        <v>6.0682803545221492E-3</v>
      </c>
      <c r="G45" s="189">
        <v>0</v>
      </c>
      <c r="H45" s="636">
        <f t="shared" si="7"/>
        <v>0</v>
      </c>
      <c r="I45" s="189">
        <v>13066.459235</v>
      </c>
      <c r="J45" s="629">
        <f t="shared" si="8"/>
        <v>6.9660101499722668E-2</v>
      </c>
      <c r="K45" s="191">
        <f t="shared" si="9"/>
        <v>14347.072540000001</v>
      </c>
      <c r="L45" s="634">
        <f t="shared" si="10"/>
        <v>3.0806636454233732E-2</v>
      </c>
      <c r="M45" s="140"/>
    </row>
    <row r="46" spans="2:13" x14ac:dyDescent="0.25">
      <c r="B46" s="88" t="s">
        <v>8</v>
      </c>
      <c r="C46" s="190">
        <f>SUM(C31:C45)</f>
        <v>45004.484950000005</v>
      </c>
      <c r="D46" s="186">
        <f>C46/C46</f>
        <v>1</v>
      </c>
      <c r="E46" s="190">
        <f>SUM(E31:E45)</f>
        <v>210744.065911026</v>
      </c>
      <c r="F46" s="186">
        <f>E46/E46</f>
        <v>1</v>
      </c>
      <c r="G46" s="190">
        <f>SUM(G31:G45)</f>
        <v>22390.63809</v>
      </c>
      <c r="H46" s="186">
        <f>G46/G46</f>
        <v>1</v>
      </c>
      <c r="I46" s="190">
        <f>SUM(I31:I45)</f>
        <v>187574.50755439998</v>
      </c>
      <c r="J46" s="186">
        <f>I46/I46</f>
        <v>1</v>
      </c>
      <c r="K46" s="190">
        <f>SUM(K31:K45)</f>
        <v>465713.69650542596</v>
      </c>
      <c r="L46" s="186">
        <f>K46/K46</f>
        <v>1</v>
      </c>
      <c r="M46" s="204"/>
    </row>
    <row r="47" spans="2:13" x14ac:dyDescent="0.25">
      <c r="B47" s="89" t="s">
        <v>275</v>
      </c>
      <c r="C47" s="204"/>
      <c r="D47" s="204"/>
      <c r="E47" s="204"/>
      <c r="F47" s="204"/>
      <c r="G47" s="204"/>
      <c r="H47" s="204"/>
      <c r="I47" s="204"/>
      <c r="J47" s="204"/>
      <c r="K47" s="204"/>
      <c r="L47" s="204"/>
      <c r="M47" s="204"/>
    </row>
  </sheetData>
  <sheetProtection password="C69F" sheet="1" objects="1" scenarios="1"/>
  <mergeCells count="14">
    <mergeCell ref="B28:L28"/>
    <mergeCell ref="B29:B30"/>
    <mergeCell ref="C29:D29"/>
    <mergeCell ref="E29:F29"/>
    <mergeCell ref="G29:H29"/>
    <mergeCell ref="I29:J29"/>
    <mergeCell ref="K29:L29"/>
    <mergeCell ref="B6:L6"/>
    <mergeCell ref="C7:D7"/>
    <mergeCell ref="E7:F7"/>
    <mergeCell ref="G7:H7"/>
    <mergeCell ref="I7:J7"/>
    <mergeCell ref="K7:L7"/>
    <mergeCell ref="B7:B8"/>
  </mergeCells>
  <hyperlinks>
    <hyperlink ref="A1" location="ÍNDICE!A1" display="ÍNDICE"/>
  </hyperlinks>
  <pageMargins left="0.7" right="0.7" top="0.75" bottom="0.75" header="0.3" footer="0.3"/>
  <ignoredErrors>
    <ignoredError sqref="D24 F24 H24:I24 J24:K24"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AA46"/>
  <sheetViews>
    <sheetView zoomScale="90" zoomScaleNormal="90" workbookViewId="0"/>
  </sheetViews>
  <sheetFormatPr baseColWidth="10" defaultRowHeight="15" x14ac:dyDescent="0.25"/>
  <cols>
    <col min="3" max="3" width="14.85546875" bestFit="1" customWidth="1"/>
    <col min="4" max="4" width="14" customWidth="1"/>
    <col min="5" max="5" width="24.140625" customWidth="1"/>
    <col min="7" max="7" width="10" customWidth="1"/>
    <col min="8" max="8" width="15" bestFit="1" customWidth="1"/>
    <col min="9" max="9" width="12.7109375" bestFit="1" customWidth="1"/>
    <col min="10" max="10" width="15" bestFit="1" customWidth="1"/>
    <col min="11" max="11" width="12.7109375" bestFit="1" customWidth="1"/>
    <col min="12" max="12" width="15" bestFit="1" customWidth="1"/>
    <col min="13" max="13" width="9.140625" customWidth="1"/>
    <col min="14" max="14" width="15" bestFit="1" customWidth="1"/>
    <col min="15" max="15" width="7.5703125" customWidth="1"/>
    <col min="16" max="16" width="8" customWidth="1"/>
    <col min="17" max="17" width="12.7109375" bestFit="1" customWidth="1"/>
    <col min="18" max="19" width="15" bestFit="1" customWidth="1"/>
    <col min="21" max="21" width="15" bestFit="1" customWidth="1"/>
  </cols>
  <sheetData>
    <row r="1" spans="1:27" s="54" customFormat="1" x14ac:dyDescent="0.25">
      <c r="A1" s="59" t="s">
        <v>132</v>
      </c>
    </row>
    <row r="2" spans="1:27" x14ac:dyDescent="0.25">
      <c r="A2" s="1" t="s">
        <v>255</v>
      </c>
      <c r="G2" s="64"/>
      <c r="H2" s="64"/>
      <c r="I2" s="64"/>
      <c r="J2" s="64"/>
      <c r="K2" s="64"/>
      <c r="L2" s="64"/>
      <c r="M2" s="64"/>
      <c r="N2" s="64"/>
      <c r="O2" s="64"/>
      <c r="P2" s="64"/>
      <c r="Q2" s="64"/>
    </row>
    <row r="3" spans="1:27" x14ac:dyDescent="0.25">
      <c r="G3" s="64"/>
      <c r="H3" s="64"/>
      <c r="I3" s="64"/>
      <c r="J3" s="64"/>
      <c r="K3" s="64"/>
      <c r="L3" s="64"/>
      <c r="M3" s="64"/>
      <c r="N3" s="64"/>
      <c r="O3" s="64"/>
      <c r="P3" s="64"/>
      <c r="Q3" s="64"/>
    </row>
    <row r="4" spans="1:27" s="37" customFormat="1" x14ac:dyDescent="0.25">
      <c r="A4" s="58" t="s">
        <v>103</v>
      </c>
      <c r="B4" s="37" t="s">
        <v>635</v>
      </c>
      <c r="G4" s="64"/>
      <c r="H4" s="64"/>
      <c r="I4" s="64"/>
      <c r="J4" s="64"/>
      <c r="K4" s="64"/>
      <c r="L4" s="64"/>
      <c r="M4" s="64"/>
      <c r="N4" s="64"/>
      <c r="O4" s="64"/>
      <c r="P4" s="64"/>
      <c r="Q4" s="64"/>
    </row>
    <row r="5" spans="1:27" x14ac:dyDescent="0.25">
      <c r="B5" s="26"/>
      <c r="C5" s="26"/>
      <c r="D5" s="26"/>
      <c r="E5" s="26"/>
      <c r="G5" s="64"/>
      <c r="H5" s="64"/>
      <c r="I5" s="64"/>
      <c r="J5" s="64"/>
      <c r="K5" s="64"/>
      <c r="L5" s="64"/>
      <c r="M5" s="64"/>
      <c r="N5" s="64"/>
      <c r="O5" s="64"/>
      <c r="P5" s="64"/>
      <c r="Q5" s="64"/>
    </row>
    <row r="6" spans="1:27" x14ac:dyDescent="0.25">
      <c r="B6" s="672" t="s">
        <v>673</v>
      </c>
      <c r="C6" s="672"/>
      <c r="D6" s="672"/>
      <c r="E6" s="672"/>
      <c r="K6" s="64"/>
      <c r="L6" s="64"/>
      <c r="M6" s="64"/>
      <c r="N6" s="64"/>
      <c r="O6" s="64"/>
      <c r="P6" s="64"/>
      <c r="Q6" s="64"/>
    </row>
    <row r="7" spans="1:27" ht="15.75" thickBot="1" x14ac:dyDescent="0.3">
      <c r="B7" s="5"/>
      <c r="C7" s="4" t="s">
        <v>12</v>
      </c>
      <c r="D7" s="4" t="s">
        <v>13</v>
      </c>
      <c r="E7" s="4" t="s">
        <v>41</v>
      </c>
      <c r="K7" s="64"/>
      <c r="L7" s="64"/>
      <c r="M7" s="64"/>
      <c r="N7" s="64"/>
      <c r="O7" s="64"/>
      <c r="P7" s="64"/>
      <c r="Q7" s="64"/>
    </row>
    <row r="8" spans="1:27" ht="15.75" thickTop="1" x14ac:dyDescent="0.25">
      <c r="B8" s="27">
        <v>2009</v>
      </c>
      <c r="C8" s="156"/>
      <c r="D8" s="156"/>
      <c r="E8" s="156"/>
    </row>
    <row r="9" spans="1:27" x14ac:dyDescent="0.25">
      <c r="A9" s="22"/>
      <c r="B9" s="10" t="s">
        <v>5</v>
      </c>
      <c r="C9" s="162">
        <f>10127.5646743979*'ANEXO 1'!E6</f>
        <v>11915.788768956336</v>
      </c>
      <c r="D9" s="162">
        <f>1226.58340767172*'ANEXO 1'!E6</f>
        <v>1443.1612399643154</v>
      </c>
      <c r="E9" s="553">
        <f>C9/D9</f>
        <v>8.2567272727273178</v>
      </c>
      <c r="T9" s="54"/>
      <c r="U9" s="54"/>
      <c r="V9" s="54"/>
      <c r="W9" s="54"/>
      <c r="X9" s="54"/>
    </row>
    <row r="10" spans="1:27" x14ac:dyDescent="0.25">
      <c r="A10" s="22"/>
      <c r="B10" s="10" t="s">
        <v>51</v>
      </c>
      <c r="C10" s="162">
        <f>108589.652096343*'ANEXO 1'!E6</f>
        <v>127763.32696699427</v>
      </c>
      <c r="D10" s="162">
        <f>26909.9018733274*'ANEXO 1'!E6</f>
        <v>31661.383247100814</v>
      </c>
      <c r="E10" s="553">
        <f t="shared" ref="E10:E13" si="0">C10/D10</f>
        <v>4.0353046476165364</v>
      </c>
      <c r="G10" s="37"/>
      <c r="H10" s="37"/>
      <c r="I10" s="37"/>
      <c r="J10" s="37"/>
      <c r="K10" s="37"/>
      <c r="L10" s="37"/>
      <c r="M10" s="37"/>
      <c r="N10" s="37"/>
      <c r="O10" s="37"/>
      <c r="P10" s="37"/>
      <c r="Q10" s="37"/>
      <c r="T10" s="54"/>
      <c r="U10" s="54"/>
      <c r="V10" s="54"/>
      <c r="W10" s="54"/>
      <c r="X10" s="54"/>
    </row>
    <row r="11" spans="1:27" x14ac:dyDescent="0.25">
      <c r="A11" s="22"/>
      <c r="B11" s="10" t="s">
        <v>6</v>
      </c>
      <c r="C11" s="162">
        <f>31201.6057091882*'ANEXO 1'!E6</f>
        <v>36710.87322925956</v>
      </c>
      <c r="D11" s="162">
        <f>4262.26583407672*'ANEXO 1'!E6</f>
        <v>5014.8541123996465</v>
      </c>
      <c r="E11" s="553">
        <f t="shared" si="0"/>
        <v>7.320426956885715</v>
      </c>
      <c r="G11" s="55" t="s">
        <v>130</v>
      </c>
    </row>
    <row r="12" spans="1:27" x14ac:dyDescent="0.25">
      <c r="A12" s="22"/>
      <c r="B12" s="10" t="s">
        <v>7</v>
      </c>
      <c r="C12" s="162">
        <f>82900.9812667261*'ANEXO 1'!E6</f>
        <v>97538.807528991922</v>
      </c>
      <c r="D12" s="162">
        <f>16900.089206066*'ANEXO 1'!E6</f>
        <v>19884.137957181072</v>
      </c>
      <c r="E12" s="553">
        <f t="shared" si="0"/>
        <v>4.9053576141462143</v>
      </c>
      <c r="H12" s="696">
        <v>2009</v>
      </c>
      <c r="I12" s="696"/>
      <c r="J12" s="695">
        <v>2010</v>
      </c>
      <c r="K12" s="695"/>
      <c r="L12" s="695">
        <v>2011</v>
      </c>
      <c r="M12" s="695"/>
      <c r="N12" s="695">
        <v>2012</v>
      </c>
      <c r="O12" s="695"/>
      <c r="P12" s="695">
        <v>2013</v>
      </c>
      <c r="Q12" s="695"/>
      <c r="R12" s="695">
        <v>2014</v>
      </c>
      <c r="S12" s="695"/>
      <c r="V12" s="85">
        <v>2009</v>
      </c>
      <c r="W12" s="85">
        <v>2010</v>
      </c>
      <c r="X12" s="85">
        <v>2011</v>
      </c>
      <c r="Y12" s="85">
        <v>2012</v>
      </c>
      <c r="Z12" s="85">
        <v>2013</v>
      </c>
      <c r="AA12" s="85">
        <v>2014</v>
      </c>
    </row>
    <row r="13" spans="1:27" ht="15.75" thickBot="1" x14ac:dyDescent="0.3">
      <c r="B13" s="11" t="s">
        <v>8</v>
      </c>
      <c r="C13" s="164">
        <f>SUM(C9:C12)</f>
        <v>273928.79649420211</v>
      </c>
      <c r="D13" s="164">
        <f>SUM(D9:D12)</f>
        <v>58003.536556645849</v>
      </c>
      <c r="E13" s="554">
        <f t="shared" si="0"/>
        <v>4.722622321945579</v>
      </c>
      <c r="G13" s="5"/>
      <c r="H13" s="4" t="s">
        <v>12</v>
      </c>
      <c r="I13" s="4" t="s">
        <v>13</v>
      </c>
      <c r="J13" s="4" t="s">
        <v>12</v>
      </c>
      <c r="K13" s="4" t="s">
        <v>13</v>
      </c>
      <c r="L13" s="4" t="s">
        <v>12</v>
      </c>
      <c r="M13" s="4" t="s">
        <v>13</v>
      </c>
      <c r="N13" s="4" t="s">
        <v>12</v>
      </c>
      <c r="O13" s="4" t="s">
        <v>13</v>
      </c>
      <c r="P13" s="4" t="s">
        <v>12</v>
      </c>
      <c r="Q13" s="4" t="s">
        <v>13</v>
      </c>
      <c r="R13" s="4" t="s">
        <v>12</v>
      </c>
      <c r="S13" s="4" t="s">
        <v>13</v>
      </c>
      <c r="U13" s="4" t="s">
        <v>12</v>
      </c>
      <c r="V13" s="486">
        <v>273928.79649420211</v>
      </c>
      <c r="W13" s="486">
        <v>280107.3968892952</v>
      </c>
      <c r="X13" s="486">
        <v>287660.27205323137</v>
      </c>
      <c r="Y13" s="486">
        <v>346020.4175922334</v>
      </c>
      <c r="Z13" s="486">
        <v>405961.85807379999</v>
      </c>
      <c r="AA13" s="486">
        <v>424671.76699999999</v>
      </c>
    </row>
    <row r="14" spans="1:27" ht="16.5" thickTop="1" thickBot="1" x14ac:dyDescent="0.3">
      <c r="B14" s="28">
        <v>2010</v>
      </c>
      <c r="C14" s="167"/>
      <c r="D14" s="167"/>
      <c r="E14" s="555"/>
      <c r="G14" s="10" t="s">
        <v>5</v>
      </c>
      <c r="H14" s="96">
        <v>11915.788768956336</v>
      </c>
      <c r="I14" s="96">
        <v>1443.1612399643154</v>
      </c>
      <c r="J14" s="488">
        <v>14136.669533394286</v>
      </c>
      <c r="K14" s="488">
        <v>1344.3582799634053</v>
      </c>
      <c r="L14" s="96">
        <v>15512.214638783267</v>
      </c>
      <c r="M14" s="96">
        <v>3133.4340779467693</v>
      </c>
      <c r="N14" s="488">
        <v>19544.788563106751</v>
      </c>
      <c r="O14" s="488">
        <v>1139.7812330097106</v>
      </c>
      <c r="P14" s="96">
        <v>41823.480591030006</v>
      </c>
      <c r="Q14" s="96">
        <v>5272.3628269199999</v>
      </c>
      <c r="R14" s="96">
        <v>41080.747000000003</v>
      </c>
      <c r="S14" s="96">
        <v>4302.6989999999996</v>
      </c>
      <c r="U14" s="4" t="s">
        <v>13</v>
      </c>
      <c r="V14" s="486">
        <v>58003.536556645849</v>
      </c>
      <c r="W14" s="486">
        <v>64237.536505032011</v>
      </c>
      <c r="X14" s="486">
        <v>88437.094961977171</v>
      </c>
      <c r="Y14" s="486">
        <v>79450.811000000074</v>
      </c>
      <c r="Z14" s="486">
        <v>81393.554425790004</v>
      </c>
      <c r="AA14" s="486">
        <v>67744.100999999995</v>
      </c>
    </row>
    <row r="15" spans="1:27" ht="15.75" thickTop="1" x14ac:dyDescent="0.25">
      <c r="A15" s="54"/>
      <c r="B15" s="10" t="s">
        <v>5</v>
      </c>
      <c r="C15" s="167">
        <f>12372.3696248856*'ANEXO 1'!F6</f>
        <v>14136.669533394286</v>
      </c>
      <c r="D15" s="167">
        <f>1176.57822506862*'ANEXO 1'!F6</f>
        <v>1344.3582799634053</v>
      </c>
      <c r="E15" s="555">
        <f>C15/D15</f>
        <v>10.515552099533393</v>
      </c>
      <c r="G15" s="10" t="s">
        <v>51</v>
      </c>
      <c r="H15" s="96">
        <v>127763.32696699427</v>
      </c>
      <c r="I15" s="96">
        <v>31661.383247100814</v>
      </c>
      <c r="J15" s="488">
        <v>134031.26605672421</v>
      </c>
      <c r="K15" s="488">
        <v>27704.652516010967</v>
      </c>
      <c r="L15" s="96">
        <v>123214.78132129225</v>
      </c>
      <c r="M15" s="96">
        <v>28822.809648288938</v>
      </c>
      <c r="N15" s="488">
        <v>145271.34560194216</v>
      </c>
      <c r="O15" s="488">
        <v>28606.520349514576</v>
      </c>
      <c r="P15" s="96">
        <v>190961.24263744999</v>
      </c>
      <c r="Q15" s="96">
        <v>29576.10115604</v>
      </c>
      <c r="R15" s="96">
        <v>188584.21799999999</v>
      </c>
      <c r="S15" s="96">
        <v>28536.465</v>
      </c>
    </row>
    <row r="16" spans="1:27" x14ac:dyDescent="0.25">
      <c r="A16" s="54"/>
      <c r="B16" s="10" t="s">
        <v>51</v>
      </c>
      <c r="C16" s="167">
        <f>117303.751143641*'ANEXO 1'!F6</f>
        <v>134031.26605672421</v>
      </c>
      <c r="D16" s="167">
        <f>24247.0265324794*'ANEXO 1'!F6</f>
        <v>27704.652516010967</v>
      </c>
      <c r="E16" s="555">
        <f t="shared" ref="E16:E19" si="1">C16/D16</f>
        <v>4.837861293487272</v>
      </c>
      <c r="G16" s="10" t="s">
        <v>6</v>
      </c>
      <c r="H16" s="96">
        <v>36710.87322925956</v>
      </c>
      <c r="I16" s="96">
        <v>5014.8541123996465</v>
      </c>
      <c r="J16" s="488">
        <v>37455.954254345888</v>
      </c>
      <c r="K16" s="488">
        <v>5332.4817932296446</v>
      </c>
      <c r="L16" s="96">
        <v>40174.098384030374</v>
      </c>
      <c r="M16" s="96">
        <v>5534.7282319391634</v>
      </c>
      <c r="N16" s="488">
        <v>49871.970388349517</v>
      </c>
      <c r="O16" s="488">
        <v>6346.7707961165061</v>
      </c>
      <c r="P16" s="96">
        <v>21253.112936860001</v>
      </c>
      <c r="Q16" s="96">
        <v>2178.0180110000001</v>
      </c>
      <c r="R16" s="96">
        <v>39146.832000000002</v>
      </c>
      <c r="S16" s="96">
        <v>3819.7159999999999</v>
      </c>
    </row>
    <row r="17" spans="1:19" x14ac:dyDescent="0.25">
      <c r="A17" s="54"/>
      <c r="B17" s="10" t="s">
        <v>6</v>
      </c>
      <c r="C17" s="167">
        <f>32781.3357731016*'ANEXO 1'!F6</f>
        <v>37455.954254345888</v>
      </c>
      <c r="D17" s="167">
        <f>4666.97163769442*'ANEXO 1'!F6</f>
        <v>5332.4817932296446</v>
      </c>
      <c r="E17" s="555">
        <f t="shared" si="1"/>
        <v>7.024112919035491</v>
      </c>
      <c r="G17" s="10" t="s">
        <v>7</v>
      </c>
      <c r="H17" s="96">
        <v>97538.807528991922</v>
      </c>
      <c r="I17" s="96">
        <v>19884.137957181072</v>
      </c>
      <c r="J17" s="488">
        <v>94483.507044830796</v>
      </c>
      <c r="K17" s="488">
        <v>29856.043915827991</v>
      </c>
      <c r="L17" s="96">
        <v>108759.17770912548</v>
      </c>
      <c r="M17" s="96">
        <v>50946.123003802306</v>
      </c>
      <c r="N17" s="488">
        <v>131332.31303883495</v>
      </c>
      <c r="O17" s="488">
        <v>43357.738621359276</v>
      </c>
      <c r="P17" s="96">
        <v>151924.02190845998</v>
      </c>
      <c r="Q17" s="96">
        <v>44367.072431830005</v>
      </c>
      <c r="R17" s="96">
        <v>155859.97</v>
      </c>
      <c r="S17" s="96">
        <v>31085.221000000001</v>
      </c>
    </row>
    <row r="18" spans="1:19" x14ac:dyDescent="0.25">
      <c r="B18" s="10" t="s">
        <v>7</v>
      </c>
      <c r="C18" s="167">
        <f>82691.6742909424*'ANEXO 1'!F6</f>
        <v>94483.507044830796</v>
      </c>
      <c r="D18" s="167">
        <f>26129.9176578225*'ANEXO 1'!F6</f>
        <v>29856.043915827991</v>
      </c>
      <c r="E18" s="555">
        <f t="shared" si="1"/>
        <v>3.1646358543417392</v>
      </c>
    </row>
    <row r="19" spans="1:19" x14ac:dyDescent="0.25">
      <c r="B19" s="18" t="s">
        <v>8</v>
      </c>
      <c r="C19" s="50">
        <f>SUM(C15:C18)</f>
        <v>280107.3968892952</v>
      </c>
      <c r="D19" s="50">
        <f>SUM(D15:D18)</f>
        <v>64237.536505032011</v>
      </c>
      <c r="E19" s="554">
        <f t="shared" si="1"/>
        <v>4.3604940682517164</v>
      </c>
    </row>
    <row r="20" spans="1:19" x14ac:dyDescent="0.25">
      <c r="B20" s="29">
        <v>2011</v>
      </c>
      <c r="C20" s="178"/>
      <c r="D20" s="178"/>
      <c r="E20" s="556"/>
    </row>
    <row r="21" spans="1:19" x14ac:dyDescent="0.25">
      <c r="B21" s="10" t="s">
        <v>5</v>
      </c>
      <c r="C21" s="162">
        <f>14178.7072243346*'ANEXO 1'!G6</f>
        <v>15512.214638783267</v>
      </c>
      <c r="D21" s="162">
        <f>2864.06844106464*'ANEXO 1'!G6</f>
        <v>3133.4340779467693</v>
      </c>
      <c r="E21" s="553">
        <f>C21/D21</f>
        <v>4.9505476269498807</v>
      </c>
    </row>
    <row r="22" spans="1:19" x14ac:dyDescent="0.25">
      <c r="B22" s="10" t="s">
        <v>51</v>
      </c>
      <c r="C22" s="162">
        <f>112622.623574144*'ANEXO 1'!G6</f>
        <v>123214.78132129225</v>
      </c>
      <c r="D22" s="162">
        <f>26345.0570342205*'ANEXO 1'!G6</f>
        <v>28822.809648288938</v>
      </c>
      <c r="E22" s="553">
        <f t="shared" ref="E22:E24" si="2">C22/D22</f>
        <v>4.2749052859462253</v>
      </c>
    </row>
    <row r="23" spans="1:19" x14ac:dyDescent="0.25">
      <c r="B23" s="10" t="s">
        <v>6</v>
      </c>
      <c r="C23" s="162">
        <f>36720.5323193916*'ANEXO 1'!G6</f>
        <v>40174.098384030374</v>
      </c>
      <c r="D23" s="162">
        <f>5058.93536121673*'ANEXO 1'!G6</f>
        <v>5534.7282319391634</v>
      </c>
      <c r="E23" s="553">
        <f t="shared" si="2"/>
        <v>7.2585494175122056</v>
      </c>
    </row>
    <row r="24" spans="1:19" x14ac:dyDescent="0.25">
      <c r="B24" s="10" t="s">
        <v>7</v>
      </c>
      <c r="C24" s="162">
        <f>99409.6958174905*'ANEXO 1'!G6</f>
        <v>108759.17770912548</v>
      </c>
      <c r="D24" s="162">
        <f>46566.5399239544*'ANEXO 1'!G6</f>
        <v>50946.123003802306</v>
      </c>
      <c r="E24" s="553">
        <f t="shared" si="2"/>
        <v>2.1347881113742133</v>
      </c>
    </row>
    <row r="25" spans="1:19" x14ac:dyDescent="0.25">
      <c r="B25" s="11" t="s">
        <v>8</v>
      </c>
      <c r="C25" s="164">
        <f>SUM(C21:C24)</f>
        <v>287660.27205323137</v>
      </c>
      <c r="D25" s="164">
        <f>SUM(D21:D24)</f>
        <v>88437.094961977171</v>
      </c>
      <c r="E25" s="554">
        <f>C25/D25</f>
        <v>3.2527105529292726</v>
      </c>
    </row>
    <row r="26" spans="1:19" x14ac:dyDescent="0.25">
      <c r="B26" s="28">
        <v>2012</v>
      </c>
      <c r="C26" s="167"/>
      <c r="D26" s="167"/>
      <c r="E26" s="555"/>
    </row>
    <row r="27" spans="1:19" x14ac:dyDescent="0.25">
      <c r="B27" s="10" t="s">
        <v>5</v>
      </c>
      <c r="C27" s="167">
        <f>18130.0970873786*'ANEXO 1'!H6</f>
        <v>19544.788563106751</v>
      </c>
      <c r="D27" s="167">
        <f>1057.28155339806*'ANEXO 1'!H6</f>
        <v>1139.7812330097106</v>
      </c>
      <c r="E27" s="555">
        <f>C27/D27</f>
        <v>17.147842056932898</v>
      </c>
    </row>
    <row r="28" spans="1:19" x14ac:dyDescent="0.25">
      <c r="B28" s="10" t="s">
        <v>51</v>
      </c>
      <c r="C28" s="167">
        <f>134756.310679612*'ANEXO 1'!H6</f>
        <v>145271.34560194216</v>
      </c>
      <c r="D28" s="167">
        <f>26535.9223300971*'ANEXO 1'!H6</f>
        <v>28606.520349514576</v>
      </c>
      <c r="E28" s="555">
        <f t="shared" ref="E28:E30" si="3">C28/D28</f>
        <v>5.0782599151178225</v>
      </c>
    </row>
    <row r="29" spans="1:19" x14ac:dyDescent="0.25">
      <c r="B29" s="10" t="s">
        <v>6</v>
      </c>
      <c r="C29" s="167">
        <f>46262.1359223301*'ANEXO 1'!H6</f>
        <v>49871.970388349517</v>
      </c>
      <c r="D29" s="167">
        <f>5887.3786407767*'ANEXO 1'!H6</f>
        <v>6346.7707961165061</v>
      </c>
      <c r="E29" s="555">
        <f t="shared" si="3"/>
        <v>7.8578496042216344</v>
      </c>
    </row>
    <row r="30" spans="1:19" x14ac:dyDescent="0.25">
      <c r="B30" s="10" t="s">
        <v>7</v>
      </c>
      <c r="C30" s="167">
        <f>121826.213592233*'ANEXO 1'!H6</f>
        <v>131332.31303883495</v>
      </c>
      <c r="D30" s="167">
        <f>40219.4174757282*'ANEXO 1'!H6</f>
        <v>43357.738621359276</v>
      </c>
      <c r="E30" s="555">
        <f t="shared" si="3"/>
        <v>3.0290397335006962</v>
      </c>
    </row>
    <row r="31" spans="1:19" x14ac:dyDescent="0.25">
      <c r="B31" s="18" t="s">
        <v>8</v>
      </c>
      <c r="C31" s="50">
        <f>SUM(C27:C30)</f>
        <v>346020.4175922334</v>
      </c>
      <c r="D31" s="50">
        <f>SUM(D27:D30)</f>
        <v>79450.811000000074</v>
      </c>
      <c r="E31" s="557">
        <f>C31/D31</f>
        <v>4.3551527446615124</v>
      </c>
    </row>
    <row r="32" spans="1:19" x14ac:dyDescent="0.25">
      <c r="B32" s="29">
        <v>2013</v>
      </c>
      <c r="C32" s="178"/>
      <c r="D32" s="178"/>
      <c r="E32" s="556"/>
    </row>
    <row r="33" spans="1:9" x14ac:dyDescent="0.25">
      <c r="B33" s="10" t="s">
        <v>5</v>
      </c>
      <c r="C33" s="162">
        <f xml:space="preserve"> 39966.249*'ANEXO 1'!I6</f>
        <v>41823.480591030006</v>
      </c>
      <c r="D33" s="162">
        <f xml:space="preserve"> 5038.236*'ANEXO 1'!I6</f>
        <v>5272.3628269199999</v>
      </c>
      <c r="E33" s="553">
        <f>C33/D33</f>
        <v>7.9325877152241393</v>
      </c>
    </row>
    <row r="34" spans="1:9" x14ac:dyDescent="0.25">
      <c r="B34" s="10" t="s">
        <v>51</v>
      </c>
      <c r="C34" s="162">
        <f>182481.335*'ANEXO 1'!I6</f>
        <v>190961.24263744999</v>
      </c>
      <c r="D34" s="162">
        <f>28262.732*'ANEXO 1'!I6</f>
        <v>29576.10115604</v>
      </c>
      <c r="E34" s="553">
        <f t="shared" ref="E34:E36" si="4">C34/D34</f>
        <v>6.4566063535542142</v>
      </c>
    </row>
    <row r="35" spans="1:9" x14ac:dyDescent="0.25">
      <c r="B35" s="10" t="s">
        <v>6</v>
      </c>
      <c r="C35" s="162">
        <f>20309.338*'ANEXO 1'!I6</f>
        <v>21253.112936860001</v>
      </c>
      <c r="D35" s="162">
        <f>2081.3*'ANEXO 1'!I6</f>
        <v>2178.0180110000001</v>
      </c>
      <c r="E35" s="553">
        <f t="shared" si="4"/>
        <v>9.7580060539086144</v>
      </c>
    </row>
    <row r="36" spans="1:9" x14ac:dyDescent="0.25">
      <c r="B36" s="10" t="s">
        <v>7</v>
      </c>
      <c r="C36" s="162">
        <f>145177.618*'ANEXO 1'!I6</f>
        <v>151924.02190845998</v>
      </c>
      <c r="D36" s="162">
        <f>42396.889*'ANEXO 1'!I6</f>
        <v>44367.072431830005</v>
      </c>
      <c r="E36" s="553">
        <f t="shared" si="4"/>
        <v>3.4242516709185895</v>
      </c>
    </row>
    <row r="37" spans="1:9" x14ac:dyDescent="0.25">
      <c r="B37" s="11" t="s">
        <v>8</v>
      </c>
      <c r="C37" s="164">
        <f>SUM(C33:C36)</f>
        <v>405961.85807379999</v>
      </c>
      <c r="D37" s="164">
        <f>SUM(D33:D36)</f>
        <v>81393.554425790004</v>
      </c>
      <c r="E37" s="554">
        <f>C37/D37</f>
        <v>4.9876413548683738</v>
      </c>
    </row>
    <row r="38" spans="1:9" s="204" customFormat="1" x14ac:dyDescent="0.25">
      <c r="B38" s="172" t="s">
        <v>447</v>
      </c>
      <c r="C38" s="178"/>
      <c r="D38" s="178"/>
      <c r="E38" s="556"/>
    </row>
    <row r="39" spans="1:9" x14ac:dyDescent="0.25">
      <c r="A39" s="85"/>
      <c r="B39" s="157" t="s">
        <v>5</v>
      </c>
      <c r="C39" s="162">
        <f>41080.747</f>
        <v>41080.747000000003</v>
      </c>
      <c r="D39" s="162">
        <v>4302.6989999999996</v>
      </c>
      <c r="E39" s="553">
        <f>C39/D39</f>
        <v>9.5476692652681514</v>
      </c>
    </row>
    <row r="40" spans="1:9" x14ac:dyDescent="0.25">
      <c r="A40" s="85"/>
      <c r="B40" s="157" t="s">
        <v>51</v>
      </c>
      <c r="C40" s="162">
        <f>188584.218</f>
        <v>188584.21799999999</v>
      </c>
      <c r="D40" s="162">
        <v>28536.465</v>
      </c>
      <c r="E40" s="553">
        <f t="shared" ref="E40:E42" si="5">C40/D40</f>
        <v>6.6085346590756773</v>
      </c>
      <c r="F40" s="86"/>
    </row>
    <row r="41" spans="1:9" x14ac:dyDescent="0.25">
      <c r="A41" s="85"/>
      <c r="B41" s="157" t="s">
        <v>6</v>
      </c>
      <c r="C41" s="162">
        <v>39146.832000000002</v>
      </c>
      <c r="D41" s="162">
        <v>3819.7159999999999</v>
      </c>
      <c r="E41" s="553">
        <f t="shared" si="5"/>
        <v>10.248623719669212</v>
      </c>
      <c r="F41" s="86"/>
    </row>
    <row r="42" spans="1:9" x14ac:dyDescent="0.25">
      <c r="A42" s="85"/>
      <c r="B42" s="157" t="s">
        <v>7</v>
      </c>
      <c r="C42" s="162">
        <v>155859.97</v>
      </c>
      <c r="D42" s="162">
        <v>31085.221000000001</v>
      </c>
      <c r="E42" s="553">
        <f t="shared" si="5"/>
        <v>5.0139572757098945</v>
      </c>
      <c r="F42" s="86"/>
    </row>
    <row r="43" spans="1:9" x14ac:dyDescent="0.25">
      <c r="A43" s="85"/>
      <c r="B43" s="159" t="s">
        <v>8</v>
      </c>
      <c r="C43" s="164">
        <f>SUM(C39:C42)</f>
        <v>424671.76699999999</v>
      </c>
      <c r="D43" s="164">
        <f>SUM(D39:D42)</f>
        <v>67744.100999999995</v>
      </c>
      <c r="E43" s="554">
        <f>C43/D43</f>
        <v>6.2687637850563549</v>
      </c>
      <c r="F43" s="490"/>
    </row>
    <row r="44" spans="1:9" x14ac:dyDescent="0.25">
      <c r="A44" s="85"/>
      <c r="B44" s="86"/>
      <c r="C44" s="86"/>
      <c r="D44" s="86"/>
      <c r="E44" s="86"/>
      <c r="F44" s="86"/>
    </row>
    <row r="45" spans="1:9" x14ac:dyDescent="0.25">
      <c r="B45" s="235" t="s">
        <v>439</v>
      </c>
      <c r="C45" s="179"/>
      <c r="D45" s="179"/>
      <c r="E45" s="232"/>
      <c r="F45" s="204"/>
      <c r="G45" s="204"/>
      <c r="H45" s="204"/>
      <c r="I45" s="204"/>
    </row>
    <row r="46" spans="1:9" x14ac:dyDescent="0.25">
      <c r="B46" s="202" t="s">
        <v>275</v>
      </c>
      <c r="C46" s="86"/>
      <c r="D46" s="86"/>
      <c r="E46" s="86"/>
      <c r="F46" s="86"/>
    </row>
  </sheetData>
  <sheetProtection password="C69F" sheet="1" objects="1" scenarios="1"/>
  <mergeCells count="7">
    <mergeCell ref="R12:S12"/>
    <mergeCell ref="B6:E6"/>
    <mergeCell ref="P12:Q12"/>
    <mergeCell ref="H12:I12"/>
    <mergeCell ref="J12:K12"/>
    <mergeCell ref="L12:M12"/>
    <mergeCell ref="N12:O12"/>
  </mergeCells>
  <hyperlinks>
    <hyperlink ref="A1" location="ÍNDICE!A1" display="ÍNDICE"/>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AK49"/>
  <sheetViews>
    <sheetView zoomScale="90" zoomScaleNormal="90" workbookViewId="0"/>
  </sheetViews>
  <sheetFormatPr baseColWidth="10" defaultRowHeight="15" x14ac:dyDescent="0.25"/>
  <cols>
    <col min="3" max="3" width="18.7109375" bestFit="1" customWidth="1"/>
    <col min="4" max="4" width="20.85546875" bestFit="1" customWidth="1"/>
    <col min="5" max="5" width="22.42578125" customWidth="1"/>
    <col min="7" max="7" width="11.28515625" customWidth="1"/>
    <col min="8" max="8" width="10.28515625" customWidth="1"/>
    <col min="9" max="9" width="6.7109375" customWidth="1"/>
    <col min="10" max="10" width="5" customWidth="1"/>
    <col min="11" max="11" width="6.5703125" customWidth="1"/>
    <col min="12" max="12" width="10" customWidth="1"/>
    <col min="13" max="13" width="5.5703125" customWidth="1"/>
    <col min="14" max="14" width="8.28515625" customWidth="1"/>
    <col min="15" max="15" width="9.42578125" customWidth="1"/>
    <col min="16" max="16" width="2.5703125" customWidth="1"/>
    <col min="17" max="17" width="9.5703125" customWidth="1"/>
    <col min="18" max="18" width="5" customWidth="1"/>
    <col min="19" max="19" width="10.7109375" customWidth="1"/>
    <col min="20" max="20" width="2.85546875" customWidth="1"/>
    <col min="21" max="21" width="6.28515625" customWidth="1"/>
    <col min="22" max="22" width="6.7109375" customWidth="1"/>
    <col min="23" max="23" width="7.7109375" customWidth="1"/>
    <col min="24" max="24" width="6.7109375" customWidth="1"/>
    <col min="25" max="25" width="5.85546875" customWidth="1"/>
    <col min="31" max="31" width="22.7109375" bestFit="1" customWidth="1"/>
  </cols>
  <sheetData>
    <row r="1" spans="1:37" s="54" customFormat="1" x14ac:dyDescent="0.25">
      <c r="A1" s="59" t="s">
        <v>132</v>
      </c>
      <c r="G1" s="64"/>
      <c r="H1" s="64"/>
      <c r="I1" s="64"/>
      <c r="J1" s="64"/>
      <c r="K1" s="64"/>
      <c r="L1" s="64"/>
      <c r="M1" s="64"/>
      <c r="N1" s="64"/>
      <c r="O1" s="64"/>
      <c r="P1" s="64"/>
      <c r="Q1" s="64"/>
      <c r="R1" s="64"/>
      <c r="S1" s="64"/>
      <c r="T1" s="64"/>
      <c r="U1" s="64"/>
      <c r="V1" s="64"/>
    </row>
    <row r="2" spans="1:37" x14ac:dyDescent="0.25">
      <c r="A2" s="1" t="s">
        <v>256</v>
      </c>
      <c r="G2" s="64"/>
      <c r="H2" s="64"/>
      <c r="I2" s="64"/>
      <c r="J2" s="64"/>
      <c r="K2" s="64"/>
      <c r="L2" s="64"/>
      <c r="M2" s="64"/>
      <c r="N2" s="64"/>
      <c r="O2" s="64"/>
      <c r="P2" s="64"/>
      <c r="Q2" s="64"/>
      <c r="R2" s="64"/>
      <c r="S2" s="64"/>
      <c r="T2" s="64"/>
      <c r="U2" s="64"/>
      <c r="V2" s="64"/>
    </row>
    <row r="3" spans="1:37" x14ac:dyDescent="0.25">
      <c r="G3" s="64"/>
      <c r="H3" s="64"/>
      <c r="I3" s="64"/>
      <c r="J3" s="64"/>
      <c r="K3" s="64"/>
      <c r="L3" s="64"/>
      <c r="M3" s="64"/>
      <c r="N3" s="64"/>
      <c r="O3" s="64"/>
      <c r="P3" s="64"/>
      <c r="Q3" s="64"/>
      <c r="R3" s="64"/>
      <c r="S3" s="64"/>
      <c r="T3" s="64"/>
      <c r="U3" s="64"/>
      <c r="V3" s="64"/>
    </row>
    <row r="4" spans="1:37" s="37" customFormat="1" x14ac:dyDescent="0.25">
      <c r="A4" s="58" t="s">
        <v>103</v>
      </c>
      <c r="B4" s="37" t="s">
        <v>566</v>
      </c>
      <c r="G4" s="64"/>
      <c r="H4" s="64"/>
      <c r="I4" s="64"/>
      <c r="J4" s="64"/>
      <c r="K4"/>
      <c r="L4"/>
      <c r="M4"/>
      <c r="N4"/>
      <c r="O4"/>
      <c r="P4"/>
      <c r="Q4"/>
      <c r="R4"/>
      <c r="S4" s="64"/>
      <c r="T4" s="64"/>
      <c r="U4" s="64"/>
      <c r="V4" s="64"/>
    </row>
    <row r="5" spans="1:37" x14ac:dyDescent="0.25">
      <c r="C5" s="30"/>
      <c r="D5" s="30"/>
      <c r="E5" s="30"/>
      <c r="G5" s="64"/>
      <c r="H5" s="64"/>
      <c r="I5" s="64"/>
      <c r="J5" s="64"/>
      <c r="S5" s="64"/>
      <c r="T5" s="64"/>
      <c r="U5" s="64"/>
      <c r="V5" s="64"/>
    </row>
    <row r="6" spans="1:37" x14ac:dyDescent="0.25">
      <c r="B6" s="644" t="s">
        <v>672</v>
      </c>
      <c r="C6" s="644"/>
      <c r="D6" s="644"/>
      <c r="E6" s="644"/>
      <c r="G6" s="64"/>
      <c r="H6" s="64"/>
      <c r="I6" s="64"/>
      <c r="J6" s="64"/>
      <c r="K6" s="64"/>
      <c r="L6" s="64"/>
      <c r="M6" s="64"/>
      <c r="N6" s="64"/>
      <c r="O6" s="64"/>
      <c r="P6" s="64"/>
      <c r="Q6" s="64"/>
      <c r="R6" s="64"/>
      <c r="S6" s="64"/>
      <c r="T6" s="64"/>
      <c r="U6" s="64"/>
      <c r="V6" s="64"/>
    </row>
    <row r="7" spans="1:37" ht="15.75" thickBot="1" x14ac:dyDescent="0.3">
      <c r="B7" s="7"/>
      <c r="C7" s="12" t="s">
        <v>42</v>
      </c>
      <c r="D7" s="12" t="s">
        <v>43</v>
      </c>
      <c r="E7" s="12" t="s">
        <v>44</v>
      </c>
      <c r="G7" s="64"/>
      <c r="H7" s="64"/>
      <c r="I7" s="64"/>
      <c r="J7" s="64"/>
      <c r="K7" s="64"/>
      <c r="L7" s="64"/>
      <c r="M7" s="64"/>
      <c r="N7" s="64"/>
      <c r="O7" s="64"/>
      <c r="P7" s="64"/>
      <c r="Q7" s="64"/>
      <c r="R7" s="64"/>
      <c r="S7" s="64"/>
      <c r="T7" s="64"/>
      <c r="U7" s="64"/>
      <c r="V7" s="64"/>
    </row>
    <row r="8" spans="1:37" ht="15.75" thickTop="1" x14ac:dyDescent="0.25">
      <c r="B8" s="28">
        <v>2009</v>
      </c>
      <c r="C8" s="167"/>
      <c r="D8" s="167"/>
      <c r="E8" s="167"/>
      <c r="G8" s="64"/>
      <c r="H8" s="64"/>
      <c r="I8" s="64"/>
      <c r="J8" s="64"/>
      <c r="K8" s="64"/>
      <c r="L8" s="64"/>
      <c r="M8" s="64"/>
      <c r="N8" s="64"/>
      <c r="O8" s="64"/>
      <c r="P8" s="64"/>
      <c r="Q8" s="64"/>
      <c r="R8" s="64"/>
      <c r="S8" s="64"/>
      <c r="T8" s="64"/>
      <c r="U8" s="64"/>
      <c r="V8" s="64"/>
    </row>
    <row r="9" spans="1:37" x14ac:dyDescent="0.25">
      <c r="B9" s="33" t="s">
        <v>5</v>
      </c>
      <c r="C9" s="167">
        <f>3479.92863514719*'ANEXO 1'!E6</f>
        <v>4094.3796342551291</v>
      </c>
      <c r="D9" s="167">
        <f>5236.3960749331*'ANEXO 1'!E6</f>
        <v>6160.9865298840368</v>
      </c>
      <c r="E9" s="167">
        <f>1411.23996431757*'ANEXO 1'!E6</f>
        <v>1660.4226048171231</v>
      </c>
      <c r="G9" s="54"/>
      <c r="H9" s="54"/>
      <c r="I9" s="54"/>
      <c r="J9" s="54"/>
      <c r="K9" s="54"/>
      <c r="L9" s="54"/>
      <c r="M9" s="54"/>
      <c r="N9" s="54"/>
      <c r="O9" s="54"/>
      <c r="P9" s="54"/>
      <c r="Q9" s="54"/>
      <c r="R9" s="54"/>
      <c r="S9" s="54"/>
      <c r="T9" s="54"/>
      <c r="U9" s="54"/>
      <c r="V9" s="54"/>
    </row>
    <row r="10" spans="1:37" x14ac:dyDescent="0.25">
      <c r="B10" s="33" t="s">
        <v>51</v>
      </c>
      <c r="C10" s="167">
        <f>41578.9473684211*'ANEXO 1'!E6</f>
        <v>48920.542105263208</v>
      </c>
      <c r="D10" s="167">
        <f>48724.3532560214*'ANEXO 1'!E6</f>
        <v>57327.612310437093</v>
      </c>
      <c r="E10" s="167">
        <f>18286.3514719001*'ANEXO 1'!E6</f>
        <v>21515.172551293497</v>
      </c>
    </row>
    <row r="11" spans="1:37" x14ac:dyDescent="0.25">
      <c r="B11" s="33" t="s">
        <v>6</v>
      </c>
      <c r="C11" s="167">
        <f>6975.91436217663*'ANEXO 1'!E6</f>
        <v>8207.6515611061568</v>
      </c>
      <c r="D11" s="167">
        <f>18968.7778768956*'ANEXO 1'!E6</f>
        <v>22318.094986619057</v>
      </c>
      <c r="E11" s="167">
        <f>5257.80553077609*'ANEXO 1'!E6</f>
        <v>6186.1762533452229</v>
      </c>
      <c r="Y11" s="54"/>
      <c r="Z11" s="54"/>
      <c r="AA11" s="54"/>
      <c r="AB11" s="54"/>
      <c r="AC11" s="54"/>
    </row>
    <row r="12" spans="1:37" x14ac:dyDescent="0.25">
      <c r="B12" s="33" t="s">
        <v>7</v>
      </c>
      <c r="C12" s="167">
        <f>4278.32292595897*'ANEXO 1'!E6</f>
        <v>5033.7464049955443</v>
      </c>
      <c r="D12" s="167">
        <f>41017.8412132025*'ANEXO 1'!E6</f>
        <v>48260.36143621766</v>
      </c>
      <c r="E12" s="167">
        <f>37605.7091882248*'ANEXO 1'!E6</f>
        <v>44245.749259589647</v>
      </c>
      <c r="G12" s="37"/>
      <c r="H12" s="37"/>
      <c r="I12" s="37"/>
      <c r="J12" s="37"/>
      <c r="K12" s="37"/>
      <c r="L12" s="37"/>
      <c r="M12" s="37"/>
      <c r="N12" s="37"/>
      <c r="O12" s="37"/>
      <c r="P12" s="37"/>
      <c r="Q12" s="37"/>
      <c r="R12" s="37"/>
      <c r="S12" s="37"/>
      <c r="T12" s="37"/>
      <c r="U12" s="37"/>
      <c r="V12" s="37"/>
    </row>
    <row r="13" spans="1:37" x14ac:dyDescent="0.25">
      <c r="B13" s="28" t="s">
        <v>8</v>
      </c>
      <c r="C13" s="50">
        <f>SUM(C9:C12)</f>
        <v>66256.31970562003</v>
      </c>
      <c r="D13" s="50">
        <f>SUM(D9:D12)</f>
        <v>134067.05526315785</v>
      </c>
      <c r="E13" s="50">
        <f>SUM(E9:E12)</f>
        <v>73607.520669045494</v>
      </c>
      <c r="G13" s="55" t="s">
        <v>130</v>
      </c>
    </row>
    <row r="14" spans="1:37" x14ac:dyDescent="0.25">
      <c r="B14" s="29">
        <v>2010</v>
      </c>
      <c r="C14" s="178"/>
      <c r="D14" s="178"/>
      <c r="E14" s="178"/>
      <c r="H14" s="699">
        <v>2009</v>
      </c>
      <c r="I14" s="699"/>
      <c r="J14" s="699"/>
      <c r="K14" s="695">
        <v>2010</v>
      </c>
      <c r="L14" s="695"/>
      <c r="M14" s="695"/>
      <c r="N14" s="695">
        <v>2011</v>
      </c>
      <c r="O14" s="695"/>
      <c r="P14" s="695"/>
      <c r="Q14" s="695">
        <v>2012</v>
      </c>
      <c r="R14" s="695"/>
      <c r="S14" s="695"/>
      <c r="T14" s="695">
        <v>2013</v>
      </c>
      <c r="U14" s="695"/>
      <c r="V14" s="695"/>
      <c r="W14" s="695">
        <v>2014</v>
      </c>
      <c r="X14" s="695"/>
      <c r="Y14" s="695"/>
    </row>
    <row r="15" spans="1:37" ht="15.75" thickBot="1" x14ac:dyDescent="0.3">
      <c r="B15" s="33" t="s">
        <v>5</v>
      </c>
      <c r="C15" s="162">
        <f>5425.43458371455*'ANEXO 1'!F6</f>
        <v>6199.1015553522457</v>
      </c>
      <c r="D15" s="162">
        <f>5458.3714547118*'ANEXO 1'!F6</f>
        <v>6236.7352241537028</v>
      </c>
      <c r="E15" s="162">
        <f>1488.56358645929*'ANEXO 1'!F6</f>
        <v>1700.8327538883848</v>
      </c>
      <c r="G15" s="7"/>
      <c r="H15" s="52" t="s">
        <v>42</v>
      </c>
      <c r="I15" s="52" t="s">
        <v>43</v>
      </c>
      <c r="J15" s="52" t="s">
        <v>44</v>
      </c>
      <c r="K15" s="52" t="s">
        <v>42</v>
      </c>
      <c r="L15" s="52" t="s">
        <v>43</v>
      </c>
      <c r="M15" s="52" t="s">
        <v>44</v>
      </c>
      <c r="N15" s="52" t="s">
        <v>42</v>
      </c>
      <c r="O15" s="52" t="s">
        <v>43</v>
      </c>
      <c r="P15" s="52" t="s">
        <v>44</v>
      </c>
      <c r="Q15" s="52" t="s">
        <v>42</v>
      </c>
      <c r="R15" s="52" t="s">
        <v>43</v>
      </c>
      <c r="S15" s="52" t="s">
        <v>44</v>
      </c>
      <c r="T15" s="52" t="s">
        <v>42</v>
      </c>
      <c r="U15" s="52" t="s">
        <v>43</v>
      </c>
      <c r="V15" s="52" t="s">
        <v>44</v>
      </c>
      <c r="W15" s="160" t="s">
        <v>42</v>
      </c>
      <c r="X15" s="160" t="s">
        <v>43</v>
      </c>
      <c r="Y15" s="160" t="s">
        <v>44</v>
      </c>
    </row>
    <row r="16" spans="1:37" ht="15.75" thickTop="1" x14ac:dyDescent="0.25">
      <c r="B16" s="33" t="s">
        <v>51</v>
      </c>
      <c r="C16" s="162">
        <f>44453.7968892955*'ANEXO 1'!F6</f>
        <v>50792.908325709046</v>
      </c>
      <c r="D16" s="162">
        <f>53225.9835315645*'ANEXO 1'!F6</f>
        <v>60816.008783165606</v>
      </c>
      <c r="E16" s="162">
        <f>19623.9707227813*'ANEXO 1'!F6</f>
        <v>22422.348947849918</v>
      </c>
      <c r="G16" s="33" t="s">
        <v>5</v>
      </c>
      <c r="H16" s="488">
        <v>4094.3796342551291</v>
      </c>
      <c r="I16" s="488">
        <v>6160.9865298840368</v>
      </c>
      <c r="J16" s="488">
        <v>1660.4226048171231</v>
      </c>
      <c r="K16" s="96">
        <v>6199.1015553522457</v>
      </c>
      <c r="L16" s="96">
        <v>6236.7352241537028</v>
      </c>
      <c r="M16" s="96">
        <v>1700.8327538883848</v>
      </c>
      <c r="N16" s="488">
        <v>4094.3677281368846</v>
      </c>
      <c r="O16" s="488">
        <v>9572.9375</v>
      </c>
      <c r="P16" s="488">
        <v>1845.949382129279</v>
      </c>
      <c r="Q16" s="96">
        <v>4887.7670873786392</v>
      </c>
      <c r="R16" s="96">
        <v>11933.687436893249</v>
      </c>
      <c r="S16" s="96">
        <v>2723.3340388349516</v>
      </c>
      <c r="T16" s="96">
        <v>5511.6857544815002</v>
      </c>
      <c r="U16" s="96">
        <v>25663.529145267261</v>
      </c>
      <c r="V16" s="96">
        <v>10648.2657606622</v>
      </c>
      <c r="W16" s="96">
        <v>6592.43361</v>
      </c>
      <c r="X16" s="96">
        <v>24751.654411300002</v>
      </c>
      <c r="Y16" s="96">
        <v>9736.6589779999995</v>
      </c>
      <c r="AF16" s="54">
        <v>2009</v>
      </c>
      <c r="AG16" s="54">
        <v>2010</v>
      </c>
      <c r="AH16" s="54">
        <v>2011</v>
      </c>
      <c r="AI16" s="54">
        <v>2012</v>
      </c>
      <c r="AJ16" s="54">
        <v>2013</v>
      </c>
      <c r="AK16">
        <v>2014</v>
      </c>
    </row>
    <row r="17" spans="2:37" ht="15.75" thickBot="1" x14ac:dyDescent="0.3">
      <c r="B17" s="33" t="s">
        <v>6</v>
      </c>
      <c r="C17" s="162">
        <f>7621.22598353156*'ANEXO 1'!F6</f>
        <v>8708.0128087831599</v>
      </c>
      <c r="D17" s="162">
        <f>19763.9524245197*'ANEXO 1'!F6</f>
        <v>22582.292040256209</v>
      </c>
      <c r="E17" s="162">
        <f>5396.15736505032*'ANEXO 1'!F6</f>
        <v>6165.6494053064953</v>
      </c>
      <c r="G17" s="33" t="s">
        <v>51</v>
      </c>
      <c r="H17" s="488">
        <v>48920.542105263208</v>
      </c>
      <c r="I17" s="488">
        <v>57327.612310437093</v>
      </c>
      <c r="J17" s="488">
        <v>21515.172551293497</v>
      </c>
      <c r="K17" s="96">
        <v>50792.908325709046</v>
      </c>
      <c r="L17" s="96">
        <v>60816.008783165606</v>
      </c>
      <c r="M17" s="96">
        <v>22422.348947849918</v>
      </c>
      <c r="N17" s="488">
        <v>57032.03612167298</v>
      </c>
      <c r="O17" s="488">
        <v>51414.110171102693</v>
      </c>
      <c r="P17" s="488">
        <v>14768.635028517116</v>
      </c>
      <c r="Q17" s="96">
        <v>65946.130330097119</v>
      </c>
      <c r="R17" s="96">
        <v>62786.35113592229</v>
      </c>
      <c r="S17" s="96">
        <v>16538.864135922293</v>
      </c>
      <c r="T17" s="96">
        <v>80477.231764263328</v>
      </c>
      <c r="U17" s="96">
        <v>82718.744201553811</v>
      </c>
      <c r="V17" s="96">
        <v>27765.266655831176</v>
      </c>
      <c r="W17" s="96">
        <v>92015.805815</v>
      </c>
      <c r="X17" s="96">
        <v>74789.864789500003</v>
      </c>
      <c r="Y17" s="96">
        <v>21778.5472634</v>
      </c>
      <c r="AE17" s="52" t="s">
        <v>42</v>
      </c>
      <c r="AF17" s="491">
        <v>66256.31970562003</v>
      </c>
      <c r="AG17" s="491">
        <v>72088.337968892942</v>
      </c>
      <c r="AH17" s="491">
        <v>77926.103184410618</v>
      </c>
      <c r="AI17" s="491">
        <v>89750.707339805886</v>
      </c>
      <c r="AJ17" s="491">
        <v>107744.55102251869</v>
      </c>
      <c r="AK17" s="238">
        <v>119491.52286190001</v>
      </c>
    </row>
    <row r="18" spans="2:37" ht="16.5" thickTop="1" thickBot="1" x14ac:dyDescent="0.3">
      <c r="B18" s="33" t="s">
        <v>7</v>
      </c>
      <c r="C18" s="162">
        <f>5591.03385178408*'ANEXO 1'!F6</f>
        <v>6388.3152790484901</v>
      </c>
      <c r="D18" s="162">
        <f>39995.4254345837*'ANEXO 1'!F6</f>
        <v>45698.773101555344</v>
      </c>
      <c r="E18" s="162">
        <f>37106.1299176578*'ANEXO 1'!F6</f>
        <v>42397.46404391581</v>
      </c>
      <c r="G18" s="33" t="s">
        <v>6</v>
      </c>
      <c r="H18" s="488">
        <v>8207.6515611061568</v>
      </c>
      <c r="I18" s="488">
        <v>22318.094986619057</v>
      </c>
      <c r="J18" s="488">
        <v>6186.1762533452229</v>
      </c>
      <c r="K18" s="96">
        <v>8708.0128087831599</v>
      </c>
      <c r="L18" s="96">
        <v>22582.292040256209</v>
      </c>
      <c r="M18" s="96">
        <v>6165.6494053064953</v>
      </c>
      <c r="N18" s="488">
        <v>10549.470722433462</v>
      </c>
      <c r="O18" s="488">
        <v>21690.685218631148</v>
      </c>
      <c r="P18" s="488">
        <v>7933.9424429657784</v>
      </c>
      <c r="Q18" s="96">
        <v>11141.387718446626</v>
      </c>
      <c r="R18" s="96">
        <v>25812.0153980582</v>
      </c>
      <c r="S18" s="96">
        <v>12918.567271844695</v>
      </c>
      <c r="T18" s="96">
        <v>7208.1701763934998</v>
      </c>
      <c r="U18" s="96">
        <v>9852.6282204981508</v>
      </c>
      <c r="V18" s="96">
        <v>4192.3142521890995</v>
      </c>
      <c r="W18" s="96">
        <v>8286.5225900000005</v>
      </c>
      <c r="X18" s="96">
        <v>12382.98653</v>
      </c>
      <c r="Y18" s="96">
        <v>18477.322520000002</v>
      </c>
      <c r="AE18" s="52" t="s">
        <v>43</v>
      </c>
      <c r="AF18" s="491">
        <v>134067.05526315785</v>
      </c>
      <c r="AG18" s="491">
        <v>135333.80914913089</v>
      </c>
      <c r="AH18" s="491">
        <v>140791.33935361222</v>
      </c>
      <c r="AI18" s="491">
        <v>168624.82462135918</v>
      </c>
      <c r="AJ18" s="491">
        <v>166162.12069611732</v>
      </c>
      <c r="AK18" s="238">
        <v>159731.5958108</v>
      </c>
    </row>
    <row r="19" spans="2:37" ht="16.5" thickTop="1" thickBot="1" x14ac:dyDescent="0.3">
      <c r="B19" s="34" t="s">
        <v>8</v>
      </c>
      <c r="C19" s="164">
        <f>SUM(C15:C18)</f>
        <v>72088.337968892942</v>
      </c>
      <c r="D19" s="164">
        <f>SUM(D15:D18)</f>
        <v>135333.80914913089</v>
      </c>
      <c r="E19" s="164">
        <f>SUM(E15:E18)</f>
        <v>72686.295150960606</v>
      </c>
      <c r="G19" s="33" t="s">
        <v>7</v>
      </c>
      <c r="H19" s="488">
        <v>5033.7464049955443</v>
      </c>
      <c r="I19" s="488">
        <v>48260.36143621766</v>
      </c>
      <c r="J19" s="488">
        <v>44245.749259589647</v>
      </c>
      <c r="K19" s="96">
        <v>6388.3152790484901</v>
      </c>
      <c r="L19" s="96">
        <v>45698.773101555344</v>
      </c>
      <c r="M19" s="96">
        <v>42397.46404391581</v>
      </c>
      <c r="N19" s="488">
        <v>6250.2286121672978</v>
      </c>
      <c r="O19" s="488">
        <v>58113.606463878372</v>
      </c>
      <c r="P19" s="488">
        <v>44395.342633079803</v>
      </c>
      <c r="Q19" s="96">
        <v>7775.4222038834941</v>
      </c>
      <c r="R19" s="96">
        <v>68092.770650485429</v>
      </c>
      <c r="S19" s="96">
        <v>55464.120184466025</v>
      </c>
      <c r="T19" s="96">
        <v>14547.46332738037</v>
      </c>
      <c r="U19" s="96">
        <v>47927.219128798075</v>
      </c>
      <c r="V19" s="96">
        <v>89449.338794889103</v>
      </c>
      <c r="W19" s="96">
        <v>12596.760846900001</v>
      </c>
      <c r="X19" s="96">
        <v>47807.090080000002</v>
      </c>
      <c r="Y19" s="96">
        <v>95456.120451299998</v>
      </c>
      <c r="AE19" s="52" t="s">
        <v>44</v>
      </c>
      <c r="AF19" s="491">
        <v>73607.520669045494</v>
      </c>
      <c r="AG19" s="491">
        <v>72686.295150960606</v>
      </c>
      <c r="AH19" s="491">
        <v>68943.869486691983</v>
      </c>
      <c r="AI19" s="491">
        <v>87644.885631067969</v>
      </c>
      <c r="AJ19" s="491">
        <v>132055.18546357157</v>
      </c>
      <c r="AK19" s="238">
        <v>145448.64921269999</v>
      </c>
    </row>
    <row r="20" spans="2:37" ht="15.75" thickTop="1" x14ac:dyDescent="0.25">
      <c r="B20" s="28">
        <v>2011</v>
      </c>
      <c r="C20" s="167"/>
      <c r="D20" s="167"/>
      <c r="E20" s="167"/>
      <c r="G20" s="28" t="s">
        <v>8</v>
      </c>
      <c r="H20" s="489">
        <v>66256.31970562003</v>
      </c>
      <c r="I20" s="489">
        <v>134067.05526315785</v>
      </c>
      <c r="J20" s="489">
        <v>73607.520669045494</v>
      </c>
      <c r="K20" s="97">
        <v>72088.337968892942</v>
      </c>
      <c r="L20" s="97">
        <v>135333.80914913089</v>
      </c>
      <c r="M20" s="97">
        <v>72686.295150960606</v>
      </c>
      <c r="N20" s="489">
        <v>77926.103184410618</v>
      </c>
      <c r="O20" s="489">
        <v>140791.33935361222</v>
      </c>
      <c r="P20" s="489">
        <v>68943.869486691983</v>
      </c>
      <c r="Q20" s="97">
        <v>89750.707339805886</v>
      </c>
      <c r="R20" s="97">
        <v>168624.82462135918</v>
      </c>
      <c r="S20" s="97">
        <v>87644.885631067969</v>
      </c>
      <c r="T20" s="97">
        <v>107744.55102251869</v>
      </c>
      <c r="U20" s="97">
        <v>166162.12069611732</v>
      </c>
      <c r="V20" s="97">
        <v>132055.18546357157</v>
      </c>
      <c r="W20" s="97">
        <v>119491.52286190001</v>
      </c>
      <c r="X20" s="97">
        <v>159731.5958108</v>
      </c>
      <c r="Y20" s="97">
        <v>145448.64921269999</v>
      </c>
      <c r="AF20" s="54"/>
      <c r="AG20" s="54"/>
      <c r="AH20" s="54"/>
      <c r="AI20" s="54"/>
      <c r="AJ20" s="54"/>
    </row>
    <row r="21" spans="2:37" x14ac:dyDescent="0.25">
      <c r="B21" s="33" t="s">
        <v>5</v>
      </c>
      <c r="C21" s="167">
        <f>3742.39543726236*'ANEXO 1'!G6</f>
        <v>4094.3677281368846</v>
      </c>
      <c r="D21" s="167">
        <f>8750*'ANEXO 1'!G6</f>
        <v>9572.9375</v>
      </c>
      <c r="E21" s="167">
        <f>1687.26235741445*'ANEXO 1'!G6</f>
        <v>1845.949382129279</v>
      </c>
    </row>
    <row r="22" spans="2:37" x14ac:dyDescent="0.25">
      <c r="B22" s="33" t="s">
        <v>51</v>
      </c>
      <c r="C22" s="167">
        <f>52129.2775665399*'ANEXO 1'!G6</f>
        <v>57032.03612167298</v>
      </c>
      <c r="D22" s="167">
        <f>46994.2965779468*'ANEXO 1'!G6</f>
        <v>51414.110171102693</v>
      </c>
      <c r="E22" s="167">
        <f>13499.0494296578*'ANEXO 1'!G6</f>
        <v>14768.635028517116</v>
      </c>
    </row>
    <row r="23" spans="2:37" x14ac:dyDescent="0.25">
      <c r="B23" s="33" t="s">
        <v>6</v>
      </c>
      <c r="C23" s="167">
        <f>9642.5855513308*'ANEXO 1'!G6</f>
        <v>10549.470722433462</v>
      </c>
      <c r="D23" s="167">
        <f>19826.0456273764*'ANEXO 1'!G6</f>
        <v>21690.685218631148</v>
      </c>
      <c r="E23" s="167">
        <f>7251.90114068441*'ANEXO 1'!G6</f>
        <v>7933.9424429657784</v>
      </c>
    </row>
    <row r="24" spans="2:37" x14ac:dyDescent="0.25">
      <c r="B24" s="33" t="s">
        <v>7</v>
      </c>
      <c r="C24" s="167">
        <f>5712.92775665399*'ANEXO 1'!G6</f>
        <v>6250.2286121672978</v>
      </c>
      <c r="D24" s="167">
        <f>53117.8707224335*'ANEXO 1'!G6</f>
        <v>58113.606463878372</v>
      </c>
      <c r="E24" s="167">
        <f>40578.897338403*'ANEXO 1'!G6</f>
        <v>44395.342633079803</v>
      </c>
    </row>
    <row r="25" spans="2:37" x14ac:dyDescent="0.25">
      <c r="B25" s="28" t="s">
        <v>8</v>
      </c>
      <c r="C25" s="50">
        <f>SUM(C21:C24)</f>
        <v>77926.103184410618</v>
      </c>
      <c r="D25" s="50">
        <f>SUM(D21:D24)</f>
        <v>140791.33935361222</v>
      </c>
      <c r="E25" s="50">
        <f>SUM(E21:E24)</f>
        <v>68943.869486691983</v>
      </c>
    </row>
    <row r="26" spans="2:37" x14ac:dyDescent="0.25">
      <c r="B26" s="29">
        <v>2012</v>
      </c>
      <c r="C26" s="178"/>
      <c r="D26" s="178"/>
      <c r="E26" s="178"/>
    </row>
    <row r="27" spans="2:37" x14ac:dyDescent="0.25">
      <c r="B27" s="33" t="s">
        <v>5</v>
      </c>
      <c r="C27" s="162">
        <f>4533.98058252427*'ANEXO 1'!H6</f>
        <v>4887.7670873786392</v>
      </c>
      <c r="D27" s="162">
        <f>11069.9029126214*'ANEXO 1'!H6</f>
        <v>11933.687436893249</v>
      </c>
      <c r="E27" s="162">
        <f>2526.21359223301*'ANEXO 1'!H6</f>
        <v>2723.3340388349516</v>
      </c>
    </row>
    <row r="28" spans="2:37" x14ac:dyDescent="0.25">
      <c r="B28" s="33" t="s">
        <v>51</v>
      </c>
      <c r="C28" s="162">
        <f>61172.8155339806*'ANEXO 1'!H6</f>
        <v>65946.130330097119</v>
      </c>
      <c r="D28" s="162">
        <f>58241.7475728155*'ANEXO 1'!H6</f>
        <v>62786.35113592229</v>
      </c>
      <c r="E28" s="162">
        <f>15341.7475728155*'ANEXO 1'!H6</f>
        <v>16538.864135922293</v>
      </c>
    </row>
    <row r="29" spans="2:37" x14ac:dyDescent="0.25">
      <c r="B29" s="33" t="s">
        <v>6</v>
      </c>
      <c r="C29" s="162">
        <f>10334.9514563107*'ANEXO 1'!H6</f>
        <v>11141.387718446626</v>
      </c>
      <c r="D29" s="162">
        <f>23943.6893203883*'ANEXO 1'!H6</f>
        <v>25812.0153980582</v>
      </c>
      <c r="E29" s="162">
        <f>11983.4951456311*'ANEXO 1'!H6</f>
        <v>12918.567271844695</v>
      </c>
    </row>
    <row r="30" spans="2:37" x14ac:dyDescent="0.25">
      <c r="B30" s="33" t="s">
        <v>7</v>
      </c>
      <c r="C30" s="162">
        <f>7212.6213592233*'ANEXO 1'!H6</f>
        <v>7775.4222038834941</v>
      </c>
      <c r="D30" s="162">
        <f>63164.0776699029*'ANEXO 1'!H6</f>
        <v>68092.770650485429</v>
      </c>
      <c r="E30" s="162">
        <f>51449.5145631068*'ANEXO 1'!H6</f>
        <v>55464.120184466025</v>
      </c>
    </row>
    <row r="31" spans="2:37" x14ac:dyDescent="0.25">
      <c r="B31" s="34" t="s">
        <v>8</v>
      </c>
      <c r="C31" s="164">
        <f>SUM(C27:C30)</f>
        <v>89750.707339805886</v>
      </c>
      <c r="D31" s="164">
        <f>SUM(D27:D30)</f>
        <v>168624.82462135918</v>
      </c>
      <c r="E31" s="164">
        <f>SUM(E27:E30)</f>
        <v>87644.885631067969</v>
      </c>
    </row>
    <row r="32" spans="2:37" x14ac:dyDescent="0.25">
      <c r="B32" s="172">
        <v>2013</v>
      </c>
      <c r="C32" s="178"/>
      <c r="D32" s="178"/>
      <c r="E32" s="178"/>
    </row>
    <row r="33" spans="2:5" x14ac:dyDescent="0.25">
      <c r="B33" s="581" t="s">
        <v>5</v>
      </c>
      <c r="C33" s="162">
        <f>5266.93145*'ANEXO 1'!I6</f>
        <v>5511.6857544815002</v>
      </c>
      <c r="D33" s="162">
        <f>24523.9033563*'ANEXO 1'!I6</f>
        <v>25663.529145267261</v>
      </c>
      <c r="E33" s="162">
        <f>10175.41426*'ANEXO 1'!I6</f>
        <v>10648.2657606622</v>
      </c>
    </row>
    <row r="34" spans="2:5" x14ac:dyDescent="0.25">
      <c r="B34" s="581" t="s">
        <v>51</v>
      </c>
      <c r="C34" s="162">
        <f>76903.5249594*'ANEXO 1'!I6</f>
        <v>80477.231764263328</v>
      </c>
      <c r="D34" s="162">
        <f>79045.4998247*'ANEXO 1'!I6</f>
        <v>82718.744201553811</v>
      </c>
      <c r="E34" s="162">
        <f>26532.3102008*'ANEXO 1'!I6</f>
        <v>27765.266655831176</v>
      </c>
    </row>
    <row r="35" spans="2:5" x14ac:dyDescent="0.25">
      <c r="B35" s="581" t="s">
        <v>6</v>
      </c>
      <c r="C35" s="162">
        <f>6888.08105*'ANEXO 1'!I6</f>
        <v>7208.1701763934998</v>
      </c>
      <c r="D35" s="162">
        <f>9415.108145*'ANEXO 1'!I6</f>
        <v>9852.6282204981508</v>
      </c>
      <c r="E35" s="162">
        <f>4006.14853*'ANEXO 1'!I6</f>
        <v>4192.3142521890995</v>
      </c>
    </row>
    <row r="36" spans="2:5" x14ac:dyDescent="0.25">
      <c r="B36" s="581" t="s">
        <v>7</v>
      </c>
      <c r="C36" s="162">
        <f>13901.462371*'ANEXO 1'!I6</f>
        <v>14547.46332738037</v>
      </c>
      <c r="D36" s="162">
        <f>45798.942281*'ANEXO 1'!I6</f>
        <v>47927.219128798075</v>
      </c>
      <c r="E36" s="162">
        <f>85477.2127198*'ANEXO 1'!I6</f>
        <v>89449.338794889103</v>
      </c>
    </row>
    <row r="37" spans="2:5" x14ac:dyDescent="0.25">
      <c r="B37" s="582" t="s">
        <v>8</v>
      </c>
      <c r="C37" s="164">
        <f>SUM(C33:C36)</f>
        <v>107744.55102251869</v>
      </c>
      <c r="D37" s="164">
        <f>SUM(D33:D36)</f>
        <v>166162.12069611732</v>
      </c>
      <c r="E37" s="164">
        <f>SUM(E33:E36)</f>
        <v>132055.18546357157</v>
      </c>
    </row>
    <row r="38" spans="2:5" ht="15" customHeight="1" x14ac:dyDescent="0.25">
      <c r="B38" s="172" t="s">
        <v>447</v>
      </c>
      <c r="C38" s="178"/>
      <c r="D38" s="178"/>
      <c r="E38" s="178"/>
    </row>
    <row r="39" spans="2:5" x14ac:dyDescent="0.25">
      <c r="B39" s="173" t="s">
        <v>5</v>
      </c>
      <c r="C39" s="162">
        <v>6592.43361</v>
      </c>
      <c r="D39" s="162">
        <v>24751.654411300002</v>
      </c>
      <c r="E39" s="162">
        <v>9736.6589779999995</v>
      </c>
    </row>
    <row r="40" spans="2:5" x14ac:dyDescent="0.25">
      <c r="B40" s="173" t="s">
        <v>51</v>
      </c>
      <c r="C40" s="162">
        <v>92015.805815</v>
      </c>
      <c r="D40" s="162">
        <v>74789.864789500003</v>
      </c>
      <c r="E40" s="162">
        <v>21778.5472634</v>
      </c>
    </row>
    <row r="41" spans="2:5" x14ac:dyDescent="0.25">
      <c r="B41" s="173" t="s">
        <v>6</v>
      </c>
      <c r="C41" s="162">
        <v>8286.5225900000005</v>
      </c>
      <c r="D41" s="162">
        <v>12382.98653</v>
      </c>
      <c r="E41" s="162">
        <v>18477.322520000002</v>
      </c>
    </row>
    <row r="42" spans="2:5" x14ac:dyDescent="0.25">
      <c r="B42" s="173" t="s">
        <v>7</v>
      </c>
      <c r="C42" s="162">
        <v>12596.760846900001</v>
      </c>
      <c r="D42" s="162">
        <v>47807.090080000002</v>
      </c>
      <c r="E42" s="162">
        <v>95456.120451299998</v>
      </c>
    </row>
    <row r="43" spans="2:5" x14ac:dyDescent="0.25">
      <c r="B43" s="34" t="s">
        <v>8</v>
      </c>
      <c r="C43" s="164">
        <f>SUM(C39:C42)</f>
        <v>119491.52286190001</v>
      </c>
      <c r="D43" s="164">
        <f>SUM(D39:D42)</f>
        <v>159731.5958108</v>
      </c>
      <c r="E43" s="164">
        <f>SUM(E39:E42)</f>
        <v>145448.64921269999</v>
      </c>
    </row>
    <row r="44" spans="2:5" ht="15" customHeight="1" x14ac:dyDescent="0.25">
      <c r="B44" s="697" t="s">
        <v>596</v>
      </c>
      <c r="C44" s="697"/>
      <c r="D44" s="697"/>
      <c r="E44" s="697"/>
    </row>
    <row r="45" spans="2:5" x14ac:dyDescent="0.25">
      <c r="B45" s="698"/>
      <c r="C45" s="698"/>
      <c r="D45" s="698"/>
      <c r="E45" s="698"/>
    </row>
    <row r="46" spans="2:5" x14ac:dyDescent="0.25">
      <c r="B46" s="89" t="s">
        <v>597</v>
      </c>
      <c r="C46" s="575"/>
      <c r="D46" s="575"/>
      <c r="E46" s="575"/>
    </row>
    <row r="47" spans="2:5" x14ac:dyDescent="0.25">
      <c r="C47" s="64"/>
      <c r="D47" s="64"/>
      <c r="E47" s="64"/>
    </row>
    <row r="49" spans="3:3" x14ac:dyDescent="0.25">
      <c r="C49" s="140"/>
    </row>
  </sheetData>
  <sheetProtection password="C69F" sheet="1" objects="1" scenarios="1"/>
  <mergeCells count="8">
    <mergeCell ref="B44:E45"/>
    <mergeCell ref="W14:Y14"/>
    <mergeCell ref="T14:V14"/>
    <mergeCell ref="B6:E6"/>
    <mergeCell ref="H14:J14"/>
    <mergeCell ref="K14:M14"/>
    <mergeCell ref="N14:P14"/>
    <mergeCell ref="Q14:S14"/>
  </mergeCells>
  <hyperlinks>
    <hyperlink ref="A1" location="ÍNDICE!A1" display="ÍNDICE"/>
  </hyperlinks>
  <pageMargins left="0.7" right="0.7" top="0.75" bottom="0.75" header="0.3" footer="0.3"/>
  <pageSetup orientation="portrait" horizontalDpi="4294967293"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T47"/>
  <sheetViews>
    <sheetView zoomScale="90" zoomScaleNormal="90" workbookViewId="0"/>
  </sheetViews>
  <sheetFormatPr baseColWidth="10" defaultRowHeight="15" x14ac:dyDescent="0.25"/>
  <cols>
    <col min="3" max="3" width="15" customWidth="1"/>
    <col min="4" max="4" width="16" customWidth="1"/>
    <col min="5" max="5" width="18.85546875" customWidth="1"/>
    <col min="6" max="6" width="14.42578125" customWidth="1"/>
    <col min="7" max="7" width="11.85546875" customWidth="1"/>
    <col min="8" max="8" width="13.85546875" customWidth="1"/>
    <col min="10" max="10" width="11.42578125" style="112"/>
    <col min="13" max="13" width="25.85546875" bestFit="1" customWidth="1"/>
    <col min="14" max="19" width="7.5703125" bestFit="1" customWidth="1"/>
    <col min="20" max="20" width="5.5703125" bestFit="1" customWidth="1"/>
  </cols>
  <sheetData>
    <row r="1" spans="1:19" s="54" customFormat="1" x14ac:dyDescent="0.25">
      <c r="A1" s="59" t="s">
        <v>132</v>
      </c>
      <c r="E1"/>
      <c r="F1"/>
      <c r="G1"/>
      <c r="H1"/>
      <c r="I1"/>
      <c r="J1"/>
      <c r="K1"/>
    </row>
    <row r="2" spans="1:19" x14ac:dyDescent="0.25">
      <c r="A2" s="1" t="s">
        <v>257</v>
      </c>
      <c r="J2"/>
    </row>
    <row r="4" spans="1:19" s="37" customFormat="1" x14ac:dyDescent="0.25">
      <c r="A4" s="58" t="s">
        <v>103</v>
      </c>
      <c r="B4" s="37" t="s">
        <v>636</v>
      </c>
      <c r="J4" s="112"/>
      <c r="K4"/>
    </row>
    <row r="5" spans="1:19" x14ac:dyDescent="0.25">
      <c r="C5" s="35"/>
      <c r="D5" s="35"/>
      <c r="E5" s="35"/>
      <c r="F5" s="35"/>
      <c r="G5" s="35"/>
      <c r="H5" s="35"/>
      <c r="N5">
        <v>2009</v>
      </c>
      <c r="O5">
        <v>2010</v>
      </c>
      <c r="P5" s="54">
        <v>2011</v>
      </c>
      <c r="Q5" s="54">
        <v>2012</v>
      </c>
      <c r="R5" s="54">
        <v>2013</v>
      </c>
      <c r="S5" s="204">
        <v>2014</v>
      </c>
    </row>
    <row r="6" spans="1:19" ht="15.75" thickBot="1" x14ac:dyDescent="0.3">
      <c r="B6" s="644" t="s">
        <v>671</v>
      </c>
      <c r="C6" s="644"/>
      <c r="D6" s="644"/>
      <c r="E6" s="644"/>
      <c r="F6" s="644"/>
      <c r="G6" s="644"/>
      <c r="H6" s="644"/>
      <c r="I6" s="113"/>
      <c r="M6" s="52" t="s">
        <v>45</v>
      </c>
      <c r="N6" s="50">
        <v>61967.769286351468</v>
      </c>
      <c r="O6" s="51">
        <v>66922.071546203078</v>
      </c>
      <c r="P6" s="50">
        <v>71709.153659695876</v>
      </c>
      <c r="Q6" s="51">
        <v>80587.452339805895</v>
      </c>
      <c r="R6" s="51">
        <v>93714.028019966703</v>
      </c>
      <c r="S6" s="179">
        <v>112612.95787499999</v>
      </c>
    </row>
    <row r="7" spans="1:19" ht="33" customHeight="1" thickTop="1" thickBot="1" x14ac:dyDescent="0.3">
      <c r="B7" s="7"/>
      <c r="C7" s="90" t="s">
        <v>45</v>
      </c>
      <c r="D7" s="90" t="s">
        <v>46</v>
      </c>
      <c r="E7" s="90" t="s">
        <v>47</v>
      </c>
      <c r="F7" s="90" t="s">
        <v>48</v>
      </c>
      <c r="G7" s="90" t="s">
        <v>49</v>
      </c>
      <c r="H7" s="90" t="s">
        <v>50</v>
      </c>
      <c r="I7" s="110" t="s">
        <v>8</v>
      </c>
      <c r="L7" s="54"/>
      <c r="M7" s="52" t="s">
        <v>46</v>
      </c>
      <c r="N7" s="50">
        <v>116163.4593131133</v>
      </c>
      <c r="O7" s="51">
        <v>121933.08691674279</v>
      </c>
      <c r="P7" s="50">
        <v>139227.22224334595</v>
      </c>
      <c r="Q7" s="51">
        <v>164625.6473106796</v>
      </c>
      <c r="R7" s="51">
        <v>190375.33552634367</v>
      </c>
      <c r="S7" s="179">
        <v>181605.91911848</v>
      </c>
    </row>
    <row r="8" spans="1:19" ht="16.5" thickTop="1" thickBot="1" x14ac:dyDescent="0.3">
      <c r="B8" s="28">
        <v>2009</v>
      </c>
      <c r="C8" s="167"/>
      <c r="D8" s="167"/>
      <c r="E8" s="167"/>
      <c r="F8" s="167"/>
      <c r="G8" s="167"/>
      <c r="H8" s="167"/>
      <c r="I8" s="167"/>
      <c r="M8" s="52" t="s">
        <v>47</v>
      </c>
      <c r="N8" s="50">
        <v>41919.898126672604</v>
      </c>
      <c r="O8" s="51">
        <v>43486.74967978042</v>
      </c>
      <c r="P8" s="50">
        <v>40111.700095056985</v>
      </c>
      <c r="Q8" s="51">
        <v>46519.611077669899</v>
      </c>
      <c r="R8" s="51">
        <v>60121.116900382331</v>
      </c>
      <c r="S8" s="179">
        <v>64956.438984999993</v>
      </c>
    </row>
    <row r="9" spans="1:19" ht="16.5" thickTop="1" thickBot="1" x14ac:dyDescent="0.3">
      <c r="B9" s="581" t="s">
        <v>5</v>
      </c>
      <c r="C9" s="167">
        <f>2727.02943800178*'ANEXO 1'!$E$6</f>
        <v>3208.5410258697539</v>
      </c>
      <c r="D9" s="167">
        <f>2964.317573595*'ANEXO 1'!E6</f>
        <v>3487.7271275646685</v>
      </c>
      <c r="E9" s="167">
        <f>1208.74219446922*'ANEXO 1'!E6</f>
        <v>1422.1698037466501</v>
      </c>
      <c r="F9" s="167">
        <f>113.291703835861*'ANEXO 1'!E6</f>
        <v>133.29561998215897</v>
      </c>
      <c r="G9" s="167">
        <f>4208.74219446922*'ANEXO 1'!E6</f>
        <v>4951.8798037466495</v>
      </c>
      <c r="H9" s="167">
        <f>132.024977698483*'ANEXO 1'!E6</f>
        <v>155.33662801070415</v>
      </c>
      <c r="I9" s="167">
        <f>SUM(C9:H9)</f>
        <v>13358.950008920585</v>
      </c>
      <c r="M9" s="52" t="s">
        <v>48</v>
      </c>
      <c r="N9" s="50">
        <v>64517.179214986572</v>
      </c>
      <c r="O9" s="51">
        <v>67004.656541628545</v>
      </c>
      <c r="P9" s="50">
        <v>86403.950712927763</v>
      </c>
      <c r="Q9" s="51">
        <v>87798.740398058289</v>
      </c>
      <c r="R9" s="51">
        <v>69635.185358559553</v>
      </c>
      <c r="S9" s="179">
        <v>78861.375402500009</v>
      </c>
    </row>
    <row r="10" spans="1:19" ht="16.5" thickTop="1" thickBot="1" x14ac:dyDescent="0.3">
      <c r="B10" s="581" t="s">
        <v>51</v>
      </c>
      <c r="C10" s="167">
        <f>35515.6110615522*'ANEXO 1'!E6</f>
        <v>41786.602506690462</v>
      </c>
      <c r="D10" s="167">
        <f>29948.2604817128*'ANEXO 1'!E6</f>
        <v>35236.224834968831</v>
      </c>
      <c r="E10" s="167">
        <f>23942.908117752*'ANEXO 1'!E6</f>
        <v>28170.507404103468</v>
      </c>
      <c r="F10" s="167">
        <f>17611.9536128457*'ANEXO 1'!E6</f>
        <v>20721.696262265865</v>
      </c>
      <c r="G10" s="167">
        <f>22755.5753791258*'ANEXO 1'!E6</f>
        <v>26773.527323818038</v>
      </c>
      <c r="H10" s="167">
        <f>5725.24531668153*'ANEXO 1'!E6</f>
        <v>6736.1518822479875</v>
      </c>
      <c r="I10" s="167">
        <f t="shared" ref="I10:I31" si="0">SUM(C10:H10)</f>
        <v>159424.71021409467</v>
      </c>
      <c r="M10" s="52" t="s">
        <v>49</v>
      </c>
      <c r="N10" s="50">
        <v>40374.928421052646</v>
      </c>
      <c r="O10" s="51">
        <v>37602.307410795969</v>
      </c>
      <c r="P10" s="50">
        <v>33132.451473383982</v>
      </c>
      <c r="Q10" s="51">
        <v>39690.343359223232</v>
      </c>
      <c r="R10" s="51">
        <v>47830.671910198595</v>
      </c>
      <c r="S10" s="179">
        <v>43069.289473879995</v>
      </c>
    </row>
    <row r="11" spans="1:19" ht="16.5" thickTop="1" thickBot="1" x14ac:dyDescent="0.3">
      <c r="B11" s="581" t="s">
        <v>6</v>
      </c>
      <c r="C11" s="167">
        <f>7487.06512042819*'ANEXO 1'!E6</f>
        <v>8809.0562087421949</v>
      </c>
      <c r="D11" s="167">
        <f>2709.18822479929*'ANEXO 1'!E6</f>
        <v>3187.5495896521002</v>
      </c>
      <c r="E11" s="167">
        <f>2877.78768956289*'ANEXO 1'!E6</f>
        <v>3385.9186619090092</v>
      </c>
      <c r="F11" s="167">
        <f>20940.2319357716*'ANEXO 1'!E6</f>
        <v>24637.64868867079</v>
      </c>
      <c r="G11" s="167">
        <f>1382.69402319358*'ANEXO 1'!E6</f>
        <v>1626.8363068688702</v>
      </c>
      <c r="H11" s="167">
        <f>66.9045495093666*'ANEXO 1'!E6</f>
        <v>78.717885816235452</v>
      </c>
      <c r="I11" s="167">
        <f t="shared" si="0"/>
        <v>41725.7273416592</v>
      </c>
      <c r="M11" s="52" t="s">
        <v>50</v>
      </c>
      <c r="N11" s="50">
        <v>6990.1482604817065</v>
      </c>
      <c r="O11" s="51">
        <v>7397.1066788655062</v>
      </c>
      <c r="P11" s="50">
        <v>5274.7353612167326</v>
      </c>
      <c r="Q11" s="51">
        <v>6143.8762399581947</v>
      </c>
      <c r="R11" s="51">
        <v>25679.075062709449</v>
      </c>
      <c r="S11" s="487">
        <v>11309.888579999999</v>
      </c>
    </row>
    <row r="12" spans="1:19" ht="15.75" thickTop="1" x14ac:dyDescent="0.25">
      <c r="B12" s="581" t="s">
        <v>7</v>
      </c>
      <c r="C12" s="167">
        <f>6938.44781445138*'ANEXO 1'!E6</f>
        <v>8163.5695450490593</v>
      </c>
      <c r="D12" s="167">
        <f>63108.8314005352*'ANEXO 1'!E6</f>
        <v>74251.957760927689</v>
      </c>
      <c r="E12" s="167">
        <f>7599.46476360393*'ANEXO 1'!E6</f>
        <v>8941.3022569134755</v>
      </c>
      <c r="F12" s="167">
        <f>16169.4915254237*'ANEXO 1'!E6</f>
        <v>19024.538644067761</v>
      </c>
      <c r="G12" s="167">
        <f>5968.77787689563*'ANEXO 1'!E6</f>
        <v>7022.6849866190905</v>
      </c>
      <c r="H12" s="167">
        <f>16.9491525423729*'ANEXO 1'!E6</f>
        <v>19.941864406779683</v>
      </c>
      <c r="I12" s="167">
        <f t="shared" si="0"/>
        <v>117423.99505798386</v>
      </c>
      <c r="S12" s="204"/>
    </row>
    <row r="13" spans="1:19" x14ac:dyDescent="0.25">
      <c r="B13" s="28" t="s">
        <v>8</v>
      </c>
      <c r="C13" s="50">
        <f t="shared" ref="C13:H13" si="1">SUM(C9:C12)</f>
        <v>61967.769286351468</v>
      </c>
      <c r="D13" s="50">
        <f t="shared" si="1"/>
        <v>116163.4593131133</v>
      </c>
      <c r="E13" s="50">
        <f t="shared" si="1"/>
        <v>41919.898126672604</v>
      </c>
      <c r="F13" s="50">
        <f t="shared" si="1"/>
        <v>64517.179214986572</v>
      </c>
      <c r="G13" s="50">
        <f t="shared" si="1"/>
        <v>40374.928421052646</v>
      </c>
      <c r="H13" s="50">
        <f t="shared" si="1"/>
        <v>6990.1482604817065</v>
      </c>
      <c r="I13" s="50">
        <f t="shared" si="0"/>
        <v>331933.38262265828</v>
      </c>
    </row>
    <row r="14" spans="1:19" x14ac:dyDescent="0.25">
      <c r="B14" s="172">
        <v>2010</v>
      </c>
      <c r="C14" s="178"/>
      <c r="D14" s="178"/>
      <c r="E14" s="178"/>
      <c r="F14" s="178"/>
      <c r="G14" s="178"/>
      <c r="H14" s="178"/>
      <c r="I14" s="178"/>
    </row>
    <row r="15" spans="1:19" x14ac:dyDescent="0.25">
      <c r="B15" s="581" t="s">
        <v>5</v>
      </c>
      <c r="C15" s="162">
        <f>3067.70356816102*'ANEXO 1'!F6</f>
        <v>3505.1580969807815</v>
      </c>
      <c r="D15" s="162">
        <f>3050.32021957914*'ANEXO 1'!F6</f>
        <v>3485.2958828911255</v>
      </c>
      <c r="E15" s="162">
        <f>2714.54711802379*'ANEXO 1'!F6</f>
        <v>3101.6415370539826</v>
      </c>
      <c r="F15" s="162">
        <f>132.662397072278*'ANEXO 1'!F6</f>
        <v>151.58005489478484</v>
      </c>
      <c r="G15" s="162">
        <f>4431.83897529735*'ANEXO 1'!F6</f>
        <v>5063.8192131747519</v>
      </c>
      <c r="H15" s="162">
        <f>152.790484903934*'ANEXO 1'!F6</f>
        <v>174.57840805123499</v>
      </c>
      <c r="I15" s="162">
        <f t="shared" si="0"/>
        <v>15482.073193046661</v>
      </c>
    </row>
    <row r="16" spans="1:19" x14ac:dyDescent="0.25">
      <c r="B16" s="581" t="s">
        <v>51</v>
      </c>
      <c r="C16" s="162">
        <f>38080.5123513266*'ANEXO 1'!F6</f>
        <v>43510.793412625775</v>
      </c>
      <c r="D16" s="162">
        <f>33262.5800548947*'ANEXO 1'!F6</f>
        <v>38005.823970722689</v>
      </c>
      <c r="E16" s="162">
        <f>26104.3000914913*'ANEXO 1'!F6</f>
        <v>29826.773284537961</v>
      </c>
      <c r="F16" s="162">
        <f>16924.9771271729*'ANEXO 1'!F6</f>
        <v>19338.478865507757</v>
      </c>
      <c r="G16" s="162">
        <f>21053.0649588289*'ANEXO 1'!F6</f>
        <v>24055.232021957905</v>
      </c>
      <c r="H16" s="162">
        <f>6125.34309240622*'ANEXO 1'!F6</f>
        <v>6998.8170173833478</v>
      </c>
      <c r="I16" s="162">
        <f t="shared" si="0"/>
        <v>161735.91857273545</v>
      </c>
    </row>
    <row r="17" spans="2:9" x14ac:dyDescent="0.25">
      <c r="B17" s="581" t="s">
        <v>6</v>
      </c>
      <c r="C17" s="162">
        <f>8985.36139066789*'ANEXO 1'!F6</f>
        <v>10266.673924977131</v>
      </c>
      <c r="D17" s="162">
        <f>2908.50869167429*'ANEXO 1'!F6</f>
        <v>3323.2620311070436</v>
      </c>
      <c r="E17" s="162">
        <f>2481.24428179323*'ANEXO 1'!F6</f>
        <v>2835.0697163769451</v>
      </c>
      <c r="F17" s="162">
        <f>20772.186642269*'ANEXO 1'!F6</f>
        <v>23734.30045745656</v>
      </c>
      <c r="G17" s="162">
        <f>2113.44922232388*'ANEXO 1'!F6</f>
        <v>2414.8270814272655</v>
      </c>
      <c r="H17" s="162">
        <f>186.642268984446*'ANEXO 1'!F6</f>
        <v>213.25745654162799</v>
      </c>
      <c r="I17" s="162">
        <f t="shared" si="0"/>
        <v>42787.390667886575</v>
      </c>
    </row>
    <row r="18" spans="2:9" x14ac:dyDescent="0.25">
      <c r="B18" s="581" t="s">
        <v>7</v>
      </c>
      <c r="C18" s="162">
        <f>8436.41354071363*'ANEXO 1'!F6</f>
        <v>9639.4461116193925</v>
      </c>
      <c r="D18" s="162">
        <f>67494.0530649588*'ANEXO 1'!F6</f>
        <v>77118.705032021928</v>
      </c>
      <c r="E18" s="162">
        <f>6759.37785910339*'ANEXO 1'!F6</f>
        <v>7723.2651418115338</v>
      </c>
      <c r="F18" s="162">
        <f>20812.4428179323*'ANEXO 1'!F6</f>
        <v>23780.297163769446</v>
      </c>
      <c r="G18" s="162">
        <f>5311.07044830741*'ANEXO 1'!F6</f>
        <v>6068.4290942360467</v>
      </c>
      <c r="H18" s="162">
        <f>9.14913083257091*'ANEXO 1'!F6</f>
        <v>10.453796889295521</v>
      </c>
      <c r="I18" s="162">
        <f t="shared" si="0"/>
        <v>124340.59634034765</v>
      </c>
    </row>
    <row r="19" spans="2:9" x14ac:dyDescent="0.25">
      <c r="B19" s="582" t="s">
        <v>8</v>
      </c>
      <c r="C19" s="164">
        <f>SUM(C15:C18)</f>
        <v>66922.071546203078</v>
      </c>
      <c r="D19" s="164">
        <f t="shared" ref="D19:H19" si="2">SUM(D15:D18)</f>
        <v>121933.08691674279</v>
      </c>
      <c r="E19" s="164">
        <f t="shared" si="2"/>
        <v>43486.74967978042</v>
      </c>
      <c r="F19" s="164">
        <f t="shared" si="2"/>
        <v>67004.656541628545</v>
      </c>
      <c r="G19" s="164">
        <f t="shared" si="2"/>
        <v>37602.307410795969</v>
      </c>
      <c r="H19" s="164">
        <f t="shared" si="2"/>
        <v>7397.1066788655062</v>
      </c>
      <c r="I19" s="164">
        <f t="shared" si="0"/>
        <v>344345.97877401626</v>
      </c>
    </row>
    <row r="20" spans="2:9" x14ac:dyDescent="0.25">
      <c r="B20" s="28">
        <v>2011</v>
      </c>
      <c r="C20" s="167"/>
      <c r="D20" s="167"/>
      <c r="E20" s="167"/>
      <c r="F20" s="167"/>
      <c r="G20" s="167"/>
      <c r="H20" s="167"/>
      <c r="I20" s="167"/>
    </row>
    <row r="21" spans="2:9" x14ac:dyDescent="0.25">
      <c r="B21" s="581" t="s">
        <v>5</v>
      </c>
      <c r="C21" s="167">
        <f>2224.33460076046*'ANEXO 1'!G6</f>
        <v>2433.5332699619812</v>
      </c>
      <c r="D21" s="167">
        <f>4115.96958174905*'ANEXO 1'!G6</f>
        <v>4503.0765209125484</v>
      </c>
      <c r="E21" s="167">
        <f>1346.95817490494*'ANEXO 1'!G6</f>
        <v>1473.6395912547496</v>
      </c>
      <c r="F21" s="167">
        <f>4425.85551330798*'ANEXO 1'!G6</f>
        <v>4842.1072243345952</v>
      </c>
      <c r="G21" s="167">
        <f>4706.27376425856*'ANEXO 1'!G6</f>
        <v>5148.8988117870776</v>
      </c>
      <c r="H21" s="167">
        <f>224.334600760456*'ANEXO 1'!G6</f>
        <v>245.43326996197689</v>
      </c>
      <c r="I21" s="167">
        <f t="shared" si="0"/>
        <v>18646.688688212929</v>
      </c>
    </row>
    <row r="22" spans="2:9" x14ac:dyDescent="0.25">
      <c r="B22" s="581" t="s">
        <v>51</v>
      </c>
      <c r="C22" s="167">
        <f>42009.5057034221*'ANEXO 1'!G6</f>
        <v>45960.499714828948</v>
      </c>
      <c r="D22" s="167">
        <f>29972.433460076*'ANEXO 1'!G6</f>
        <v>32791.340826996151</v>
      </c>
      <c r="E22" s="167">
        <f>28542.7756653992*'ANEXO 1'!G6</f>
        <v>31227.223716729994</v>
      </c>
      <c r="F22" s="167">
        <f>14849.8098859316*'ANEXO 1'!G6</f>
        <v>16246.434505703466</v>
      </c>
      <c r="G22" s="167">
        <f>19276.6159695817*'ANEXO 1'!G6</f>
        <v>21089.581701520859</v>
      </c>
      <c r="H22" s="167">
        <f>4097.90874524715*'ANEXO 1'!G6</f>
        <v>4483.3170627376448</v>
      </c>
      <c r="I22" s="167">
        <f t="shared" si="0"/>
        <v>151798.39752851706</v>
      </c>
    </row>
    <row r="23" spans="2:9" x14ac:dyDescent="0.25">
      <c r="B23" s="581" t="s">
        <v>6</v>
      </c>
      <c r="C23" s="167">
        <f>8651.14068441065*'ANEXO 1'!G6</f>
        <v>9464.7804657794713</v>
      </c>
      <c r="D23" s="167">
        <f>2346.00760456274*'ANEXO 1'!G6</f>
        <v>2566.6496197718657</v>
      </c>
      <c r="E23" s="167">
        <f>2453.42205323194*'ANEXO 1'!G6</f>
        <v>2684.1663973384038</v>
      </c>
      <c r="F23" s="167">
        <f>23021.8631178707*'ANEXO 1'!G6</f>
        <v>25187.06934410644</v>
      </c>
      <c r="G23" s="167">
        <f>5280.41825095057*'ANEXO 1'!G6</f>
        <v>5777.0415874524706</v>
      </c>
      <c r="H23" s="167">
        <f>27.5665399239544*'ANEXO 1'!G6</f>
        <v>30.159173003802312</v>
      </c>
      <c r="I23" s="167">
        <f t="shared" si="0"/>
        <v>45709.866587452452</v>
      </c>
    </row>
    <row r="24" spans="2:9" x14ac:dyDescent="0.25">
      <c r="B24" s="581" t="s">
        <v>7</v>
      </c>
      <c r="C24" s="167">
        <f>12659.6958174905*'ANEXO 1'!G6</f>
        <v>13850.340209125481</v>
      </c>
      <c r="D24" s="167">
        <f>90824.144486692*'ANEXO 1'!G6</f>
        <v>99366.155275665384</v>
      </c>
      <c r="E24" s="167">
        <f>4320.34220532319*'ANEXO 1'!G6</f>
        <v>4726.6703897338357</v>
      </c>
      <c r="F24" s="167">
        <f>36678.7072243346*'ANEXO 1'!G6</f>
        <v>40128.339638783262</v>
      </c>
      <c r="G24" s="167">
        <f>1020.91254752852*'ANEXO 1'!G6</f>
        <v>1116.9293726235774</v>
      </c>
      <c r="H24" s="167">
        <f>471.48288973384*'ANEXO 1'!G6</f>
        <v>515.8258555133076</v>
      </c>
      <c r="I24" s="167">
        <f t="shared" si="0"/>
        <v>159704.26074144486</v>
      </c>
    </row>
    <row r="25" spans="2:9" x14ac:dyDescent="0.25">
      <c r="B25" s="28" t="s">
        <v>8</v>
      </c>
      <c r="C25" s="50">
        <f>SUM(C21:C24)</f>
        <v>71709.153659695876</v>
      </c>
      <c r="D25" s="50">
        <f t="shared" ref="D25:H25" si="3">SUM(D21:D24)</f>
        <v>139227.22224334595</v>
      </c>
      <c r="E25" s="50">
        <f t="shared" si="3"/>
        <v>40111.700095056985</v>
      </c>
      <c r="F25" s="50">
        <f t="shared" si="3"/>
        <v>86403.950712927763</v>
      </c>
      <c r="G25" s="50">
        <f t="shared" si="3"/>
        <v>33132.451473383982</v>
      </c>
      <c r="H25" s="50">
        <f t="shared" si="3"/>
        <v>5274.7353612167326</v>
      </c>
      <c r="I25" s="50">
        <f t="shared" si="0"/>
        <v>375859.21354562725</v>
      </c>
    </row>
    <row r="26" spans="2:9" x14ac:dyDescent="0.25">
      <c r="B26" s="172">
        <v>2012</v>
      </c>
      <c r="C26" s="178"/>
      <c r="D26" s="178"/>
      <c r="E26" s="178"/>
      <c r="F26" s="178"/>
      <c r="G26" s="178"/>
      <c r="H26" s="178"/>
      <c r="I26" s="178"/>
    </row>
    <row r="27" spans="2:9" x14ac:dyDescent="0.25">
      <c r="B27" s="581" t="s">
        <v>5</v>
      </c>
      <c r="C27" s="162">
        <f>3725.2427184466*'ANEXO 1'!H6</f>
        <v>4015.9234077669885</v>
      </c>
      <c r="D27" s="162">
        <f>4079.61165048544*'ANEXO 1'!H6</f>
        <v>4397.9437475728191</v>
      </c>
      <c r="E27" s="162">
        <f>1566.01941747573*'ANEXO 1'!H6</f>
        <v>1688.2159126213614</v>
      </c>
      <c r="F27" s="162">
        <f>4408.73786407767*'ANEXO 1'!H6</f>
        <v>4752.7516796116506</v>
      </c>
      <c r="G27" s="162">
        <f>5172.81553398058*'ANEXO 1'!H6</f>
        <v>5576.4503300970846</v>
      </c>
      <c r="H27" s="162">
        <f>234.95145631068*'ANEXO 1'!H6</f>
        <v>253.28471844660237</v>
      </c>
      <c r="I27" s="162">
        <f t="shared" si="0"/>
        <v>20684.569796116506</v>
      </c>
    </row>
    <row r="28" spans="2:9" x14ac:dyDescent="0.25">
      <c r="B28" s="581" t="s">
        <v>51</v>
      </c>
      <c r="C28" s="162">
        <f>48469.9029126214*'ANEXO 1'!H6</f>
        <v>52252.009436893248</v>
      </c>
      <c r="D28" s="162">
        <f>39760.1941747573*'ANEXO 1'!H6</f>
        <v>42862.682126213615</v>
      </c>
      <c r="E28" s="162">
        <f>32163.1067961165*'ANEXO 1'!H6</f>
        <v>34672.794019417473</v>
      </c>
      <c r="F28" s="162">
        <f>16284.4660194175*'ANEXO 1'!H6</f>
        <v>17555.142902912648</v>
      </c>
      <c r="G28" s="162">
        <f>19594.1747572815*'ANEXO 1'!H6</f>
        <v>21123.108213592175</v>
      </c>
      <c r="H28" s="162">
        <f>4998.05825242718*'ANEXO 1'!H6</f>
        <v>5388.0567378640735</v>
      </c>
      <c r="I28" s="162">
        <f t="shared" si="0"/>
        <v>173853.79343689323</v>
      </c>
    </row>
    <row r="29" spans="2:9" x14ac:dyDescent="0.25">
      <c r="B29" s="581" t="s">
        <v>6</v>
      </c>
      <c r="C29" s="162">
        <f>11600.9708737864*'ANEXO 1'!H6</f>
        <v>12506.194631067954</v>
      </c>
      <c r="D29" s="162">
        <f>4012.6213592233*'ANEXO 1'!H6</f>
        <v>4325.7262038834942</v>
      </c>
      <c r="E29" s="162">
        <f>2594.17475728155*'ANEXO 1'!H6</f>
        <v>2796.5982135922291</v>
      </c>
      <c r="F29" s="162">
        <f>22626.213592233*'ANEXO 1'!H6</f>
        <v>24391.737038834945</v>
      </c>
      <c r="G29" s="162">
        <f>11263.1067961165*'ANEXO 1'!H6</f>
        <v>12141.967019417472</v>
      </c>
      <c r="H29" s="162">
        <f>52.4271844660194/'ANEXO 1'!H6</f>
        <v>48.632398417501733</v>
      </c>
      <c r="I29" s="162">
        <f t="shared" si="0"/>
        <v>56210.8555052136</v>
      </c>
    </row>
    <row r="30" spans="2:9" x14ac:dyDescent="0.25">
      <c r="B30" s="581" t="s">
        <v>7</v>
      </c>
      <c r="C30" s="162">
        <f>10958.2524271845*'ANEXO 1'!H6</f>
        <v>11813.324864077707</v>
      </c>
      <c r="D30" s="162">
        <f>104857.281553398*'ANEXO 1'!H6</f>
        <v>113039.29523300966</v>
      </c>
      <c r="E30" s="162">
        <f>6829.12621359223*'ANEXO 1'!H6</f>
        <v>7362.0029320388321</v>
      </c>
      <c r="F30" s="162">
        <f>38124.2718446602*'ANEXO 1'!H6</f>
        <v>41099.108776699039</v>
      </c>
      <c r="G30" s="162">
        <f>787.378640776699*'ANEXO 1'!H6</f>
        <v>848.81779611650484</v>
      </c>
      <c r="H30" s="162">
        <f>489.320388349515/'ANEXO 1'!H6</f>
        <v>453.90238523001676</v>
      </c>
      <c r="I30" s="162">
        <f t="shared" si="0"/>
        <v>174616.45198717178</v>
      </c>
    </row>
    <row r="31" spans="2:9" x14ac:dyDescent="0.25">
      <c r="B31" s="582" t="s">
        <v>8</v>
      </c>
      <c r="C31" s="164">
        <f>SUM(C27:C30)</f>
        <v>80587.452339805895</v>
      </c>
      <c r="D31" s="164">
        <f t="shared" ref="D31:G31" si="4">SUM(D27:D30)</f>
        <v>164625.6473106796</v>
      </c>
      <c r="E31" s="164">
        <f t="shared" si="4"/>
        <v>46519.611077669899</v>
      </c>
      <c r="F31" s="164">
        <f t="shared" si="4"/>
        <v>87798.740398058289</v>
      </c>
      <c r="G31" s="164">
        <f t="shared" si="4"/>
        <v>39690.343359223232</v>
      </c>
      <c r="H31" s="164">
        <f>SUM(H27:H30)</f>
        <v>6143.8762399581947</v>
      </c>
      <c r="I31" s="164">
        <f t="shared" si="0"/>
        <v>425365.67072539509</v>
      </c>
    </row>
    <row r="32" spans="2:9" x14ac:dyDescent="0.25">
      <c r="B32" s="172">
        <v>2013</v>
      </c>
      <c r="C32" s="178"/>
      <c r="D32" s="178"/>
      <c r="E32" s="178"/>
      <c r="F32" s="178"/>
      <c r="G32" s="178"/>
      <c r="H32" s="178"/>
      <c r="I32" s="178"/>
    </row>
    <row r="33" spans="2:20" x14ac:dyDescent="0.25">
      <c r="B33" s="581" t="s">
        <v>5</v>
      </c>
      <c r="C33" s="162">
        <f>2618.72661*'ANEXO 1'!I6</f>
        <v>2740.4188355667002</v>
      </c>
      <c r="D33" s="162">
        <f>7790.60736*'ANEXO 1'!I6</f>
        <v>8152.6368840191999</v>
      </c>
      <c r="E33" s="162">
        <f>1570.8226*'ANEXO 1'!I6</f>
        <v>1643.8187262219999</v>
      </c>
      <c r="F33" s="162">
        <f>21955.00405*'ANEXO 1'!I6</f>
        <v>22975.253088203499</v>
      </c>
      <c r="G33" s="162">
        <f>10848.6303775*'ANEXO 1'!I6</f>
        <v>11352.766231142425</v>
      </c>
      <c r="H33" s="162">
        <f>220.6940925*'ANEXO 1'!I6</f>
        <v>230.94974697847502</v>
      </c>
      <c r="I33" s="162">
        <f>SUM(C33:H33)</f>
        <v>47095.843512132305</v>
      </c>
    </row>
    <row r="34" spans="2:20" x14ac:dyDescent="0.25">
      <c r="B34" s="581" t="s">
        <v>51</v>
      </c>
      <c r="C34" s="162">
        <f>62760.4868808*'ANEXO 1'!I6</f>
        <v>65676.966706150779</v>
      </c>
      <c r="D34" s="162">
        <f>57559.8545638*'ANEXO 1'!I6</f>
        <v>60234.661005379785</v>
      </c>
      <c r="E34" s="162">
        <f>36214.2254075*'ANEXO 1'!I6</f>
        <v>37897.100462186529</v>
      </c>
      <c r="F34" s="162">
        <f>13088.2597766*'ANEXO 1'!I6</f>
        <v>13696.471208418601</v>
      </c>
      <c r="G34" s="162">
        <f>31073.8268225*'ANEXO 1'!I6</f>
        <v>32517.827554941574</v>
      </c>
      <c r="H34" s="162">
        <f>10047.4129225*'ANEXO 1'!I6</f>
        <v>10514.316201008574</v>
      </c>
      <c r="I34" s="162">
        <f t="shared" ref="I34:I36" si="5">SUM(C34:H34)</f>
        <v>220537.34313808585</v>
      </c>
    </row>
    <row r="35" spans="2:20" x14ac:dyDescent="0.25">
      <c r="B35" s="581" t="s">
        <v>6</v>
      </c>
      <c r="C35" s="162">
        <f>14023.49467*'ANEXO 1'!I6</f>
        <v>14675.166467314901</v>
      </c>
      <c r="D35" s="162">
        <f>3403.52955*'ANEXO 1'!I6</f>
        <v>3561.6915681885002</v>
      </c>
      <c r="E35" s="162">
        <f>1711.77955*'ANEXO 1'!I6</f>
        <v>1791.3259456885</v>
      </c>
      <c r="F35" s="162">
        <f>928.77474*'ANEXO 1'!I6</f>
        <v>971.93490216779992</v>
      </c>
      <c r="G35" s="162">
        <f>2323.05929*'ANEXO 1'!I6</f>
        <v>2431.0118552063</v>
      </c>
      <c r="H35" s="162">
        <f>0*'ANEXO 1'!I6</f>
        <v>0</v>
      </c>
      <c r="I35" s="162">
        <f t="shared" si="5"/>
        <v>23431.130738565997</v>
      </c>
      <c r="M35" s="29">
        <v>2014</v>
      </c>
      <c r="N35" s="48"/>
      <c r="O35" s="48"/>
      <c r="P35" s="48"/>
      <c r="Q35" s="48"/>
      <c r="R35" s="48"/>
      <c r="S35" s="48"/>
      <c r="T35" s="111"/>
    </row>
    <row r="36" spans="2:20" x14ac:dyDescent="0.25">
      <c r="B36" s="581" t="s">
        <v>7</v>
      </c>
      <c r="C36" s="162">
        <f>10149.8141475*'ANEXO 1'!I6</f>
        <v>10621.476010934324</v>
      </c>
      <c r="D36" s="162">
        <f>113167.45446*'ANEXO 1'!I6</f>
        <v>118426.34606875619</v>
      </c>
      <c r="E36" s="162">
        <f>17954.52499*'ANEXO 1'!I6</f>
        <v>18788.871766285301</v>
      </c>
      <c r="F36" s="162">
        <f>30570.896595*'ANEXO 1'!I6</f>
        <v>31991.526159769648</v>
      </c>
      <c r="G36" s="162">
        <f>1461.16589*'ANEXO 1'!I6</f>
        <v>1529.0662689083001</v>
      </c>
      <c r="H36" s="162">
        <f>14270.65192*'ANEXO 1'!I6</f>
        <v>14933.8091147224</v>
      </c>
      <c r="I36" s="162">
        <f t="shared" si="5"/>
        <v>196291.09538937613</v>
      </c>
      <c r="M36" s="33" t="s">
        <v>5</v>
      </c>
      <c r="N36" s="495">
        <f>C39/$I$39</f>
        <v>0.16034830855399723</v>
      </c>
      <c r="O36" s="495">
        <f t="shared" ref="O36:S36" si="6">D39/$I$39</f>
        <v>0.1592557270726408</v>
      </c>
      <c r="P36" s="495">
        <f t="shared" si="6"/>
        <v>1.9864273398982887E-2</v>
      </c>
      <c r="Q36" s="495">
        <f t="shared" si="6"/>
        <v>0.4788883842858358</v>
      </c>
      <c r="R36" s="495">
        <f t="shared" si="6"/>
        <v>0.16848650554000183</v>
      </c>
      <c r="S36" s="495">
        <f t="shared" si="6"/>
        <v>1.3156801148541387E-2</v>
      </c>
      <c r="T36" s="495">
        <f>I39/$I$39</f>
        <v>1</v>
      </c>
    </row>
    <row r="37" spans="2:20" x14ac:dyDescent="0.25">
      <c r="B37" s="582" t="s">
        <v>8</v>
      </c>
      <c r="C37" s="164">
        <f>SUM(C33:C36)</f>
        <v>93714.028019966703</v>
      </c>
      <c r="D37" s="164">
        <f>SUM(D33:D36)</f>
        <v>190375.33552634367</v>
      </c>
      <c r="E37" s="164">
        <f t="shared" ref="E37:H37" si="7">SUM(E33:E36)</f>
        <v>60121.116900382331</v>
      </c>
      <c r="F37" s="164">
        <f t="shared" si="7"/>
        <v>69635.185358559553</v>
      </c>
      <c r="G37" s="164">
        <f t="shared" si="7"/>
        <v>47830.671910198595</v>
      </c>
      <c r="H37" s="164">
        <f t="shared" si="7"/>
        <v>25679.075062709449</v>
      </c>
      <c r="I37" s="164">
        <f>SUM(I33:I36)</f>
        <v>487355.4127781603</v>
      </c>
      <c r="J37" s="147"/>
      <c r="M37" s="33" t="s">
        <v>51</v>
      </c>
      <c r="N37" s="495">
        <f>C40/$I$40</f>
        <v>0.30733965878706238</v>
      </c>
      <c r="O37" s="495">
        <f t="shared" ref="O37:T37" si="8">D40/$I$40</f>
        <v>0.24797311777780573</v>
      </c>
      <c r="P37" s="495">
        <f t="shared" si="8"/>
        <v>0.19141057430918179</v>
      </c>
      <c r="Q37" s="495">
        <f t="shared" si="8"/>
        <v>5.7034538733926068E-2</v>
      </c>
      <c r="R37" s="495">
        <f t="shared" si="8"/>
        <v>0.14975369055062782</v>
      </c>
      <c r="S37" s="495">
        <f t="shared" si="8"/>
        <v>4.6488419841396275E-2</v>
      </c>
      <c r="T37" s="495">
        <f t="shared" si="8"/>
        <v>1</v>
      </c>
    </row>
    <row r="38" spans="2:20" x14ac:dyDescent="0.25">
      <c r="B38" s="172" t="s">
        <v>447</v>
      </c>
      <c r="C38" s="178"/>
      <c r="D38" s="178"/>
      <c r="E38" s="178"/>
      <c r="F38" s="178"/>
      <c r="G38" s="178"/>
      <c r="H38" s="178"/>
      <c r="I38" s="178"/>
      <c r="M38" s="33" t="s">
        <v>6</v>
      </c>
      <c r="N38" s="495">
        <f>C41/$I$41</f>
        <v>0.60675748604818125</v>
      </c>
      <c r="O38" s="495">
        <f t="shared" ref="O38:T38" si="9">D41/$I$41</f>
        <v>0.19535838324568974</v>
      </c>
      <c r="P38" s="495">
        <f t="shared" si="9"/>
        <v>7.7696097076748669E-2</v>
      </c>
      <c r="Q38" s="495">
        <f t="shared" si="9"/>
        <v>7.0251740166551266E-2</v>
      </c>
      <c r="R38" s="495">
        <f t="shared" si="9"/>
        <v>4.6398529635666673E-2</v>
      </c>
      <c r="S38" s="495">
        <f t="shared" si="9"/>
        <v>3.5377638271626402E-3</v>
      </c>
      <c r="T38" s="495">
        <f t="shared" si="9"/>
        <v>1</v>
      </c>
    </row>
    <row r="39" spans="2:20" x14ac:dyDescent="0.25">
      <c r="B39" s="581" t="s">
        <v>5</v>
      </c>
      <c r="C39" s="162">
        <v>7277.1588700000002</v>
      </c>
      <c r="D39" s="162">
        <v>7227.5737568799996</v>
      </c>
      <c r="E39" s="162">
        <v>901.50918750000005</v>
      </c>
      <c r="F39" s="162">
        <v>21733.605329999999</v>
      </c>
      <c r="G39" s="162">
        <v>7646.4982968799995</v>
      </c>
      <c r="H39" s="162">
        <v>597.10098000000005</v>
      </c>
      <c r="I39" s="162">
        <v>45383.44642126</v>
      </c>
      <c r="M39" s="33" t="s">
        <v>7</v>
      </c>
      <c r="N39" s="495">
        <f>C42/$I$42</f>
        <v>6.7055629898340977E-2</v>
      </c>
      <c r="O39" s="495">
        <f t="shared" ref="O39:T39" si="10">D42/$I$42</f>
        <v>0.59987837186190329</v>
      </c>
      <c r="P39" s="495">
        <f t="shared" si="10"/>
        <v>0.10247603524615798</v>
      </c>
      <c r="Q39" s="495">
        <f t="shared" si="10"/>
        <v>0.22319866529835375</v>
      </c>
      <c r="R39" s="495">
        <f t="shared" si="10"/>
        <v>4.8922517149799071E-3</v>
      </c>
      <c r="S39" s="495">
        <f t="shared" si="10"/>
        <v>2.4990459802639478E-3</v>
      </c>
      <c r="T39" s="495">
        <f t="shared" si="10"/>
        <v>1</v>
      </c>
    </row>
    <row r="40" spans="2:20" x14ac:dyDescent="0.25">
      <c r="B40" s="581" t="s">
        <v>51</v>
      </c>
      <c r="C40" s="162">
        <v>66729.796644999995</v>
      </c>
      <c r="D40" s="162">
        <v>53840.092710600002</v>
      </c>
      <c r="E40" s="162">
        <v>41559.194637499997</v>
      </c>
      <c r="F40" s="162">
        <v>12383.3780075</v>
      </c>
      <c r="G40" s="162">
        <v>32514.623581999997</v>
      </c>
      <c r="H40" s="162">
        <v>10093.597470000001</v>
      </c>
      <c r="I40" s="162">
        <v>217120.68305259998</v>
      </c>
      <c r="M40" s="34" t="s">
        <v>8</v>
      </c>
      <c r="N40" s="496">
        <f>C43/$I$43</f>
        <v>0.2286948184757826</v>
      </c>
      <c r="O40" s="496">
        <f t="shared" ref="O40:T40" si="11">D43/$I$43</f>
        <v>0.36880598370419498</v>
      </c>
      <c r="P40" s="496">
        <f t="shared" si="11"/>
        <v>0.13191378064145198</v>
      </c>
      <c r="Q40" s="496">
        <f t="shared" si="11"/>
        <v>0.16015197782518317</v>
      </c>
      <c r="R40" s="496">
        <f t="shared" si="11"/>
        <v>8.7465275080005275E-2</v>
      </c>
      <c r="S40" s="496">
        <f t="shared" si="11"/>
        <v>2.2968164273381816E-2</v>
      </c>
      <c r="T40" s="496">
        <f t="shared" si="11"/>
        <v>1</v>
      </c>
    </row>
    <row r="41" spans="2:20" x14ac:dyDescent="0.25">
      <c r="B41" s="581" t="s">
        <v>6</v>
      </c>
      <c r="C41" s="162">
        <v>26070.27477</v>
      </c>
      <c r="D41" s="162">
        <v>8393.8753899999992</v>
      </c>
      <c r="E41" s="162">
        <v>3338.3330999999998</v>
      </c>
      <c r="F41" s="162">
        <v>3018.47478</v>
      </c>
      <c r="G41" s="162">
        <v>1993.58466</v>
      </c>
      <c r="H41" s="162">
        <v>152.00550000000001</v>
      </c>
      <c r="I41" s="162">
        <v>42966.54819999999</v>
      </c>
    </row>
    <row r="42" spans="2:20" x14ac:dyDescent="0.25">
      <c r="B42" s="581" t="s">
        <v>7</v>
      </c>
      <c r="C42" s="162">
        <v>12535.72759</v>
      </c>
      <c r="D42" s="162">
        <v>112144.377261</v>
      </c>
      <c r="E42" s="162">
        <v>19157.40206</v>
      </c>
      <c r="F42" s="162">
        <v>41725.917285000003</v>
      </c>
      <c r="G42" s="162">
        <v>914.58293500000002</v>
      </c>
      <c r="H42" s="162">
        <v>467.18463000000003</v>
      </c>
      <c r="I42" s="162">
        <v>186945.19176100002</v>
      </c>
    </row>
    <row r="43" spans="2:20" x14ac:dyDescent="0.25">
      <c r="B43" s="582" t="s">
        <v>8</v>
      </c>
      <c r="C43" s="164">
        <v>112612.95787499999</v>
      </c>
      <c r="D43" s="164">
        <v>181605.91911848</v>
      </c>
      <c r="E43" s="164">
        <v>64956.438984999993</v>
      </c>
      <c r="F43" s="164">
        <v>78861.375402500009</v>
      </c>
      <c r="G43" s="164">
        <v>43069.289473879995</v>
      </c>
      <c r="H43" s="164">
        <v>11309.888579999999</v>
      </c>
      <c r="I43" s="164">
        <v>492415.86943486007</v>
      </c>
    </row>
    <row r="45" spans="2:20" x14ac:dyDescent="0.25">
      <c r="B45" s="89" t="s">
        <v>275</v>
      </c>
    </row>
    <row r="46" spans="2:20" x14ac:dyDescent="0.25">
      <c r="B46" s="700" t="s">
        <v>680</v>
      </c>
      <c r="C46" s="700"/>
      <c r="D46" s="700"/>
      <c r="E46" s="700"/>
      <c r="F46" s="700"/>
      <c r="G46" s="700"/>
      <c r="H46" s="700"/>
      <c r="I46" s="700"/>
    </row>
    <row r="47" spans="2:20" x14ac:dyDescent="0.25">
      <c r="B47" s="700"/>
      <c r="C47" s="700"/>
      <c r="D47" s="700"/>
      <c r="E47" s="700"/>
      <c r="F47" s="700"/>
      <c r="G47" s="700"/>
      <c r="H47" s="700"/>
      <c r="I47" s="700"/>
    </row>
  </sheetData>
  <sheetProtection password="C69F" sheet="1" objects="1" scenarios="1"/>
  <mergeCells count="2">
    <mergeCell ref="B6:H6"/>
    <mergeCell ref="B46:I47"/>
  </mergeCells>
  <hyperlinks>
    <hyperlink ref="A1" location="ÍNDICE!A1" display="ÍNDICE"/>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AG42"/>
  <sheetViews>
    <sheetView zoomScale="90" zoomScaleNormal="90" workbookViewId="0"/>
  </sheetViews>
  <sheetFormatPr baseColWidth="10" defaultRowHeight="15" x14ac:dyDescent="0.25"/>
  <cols>
    <col min="2" max="2" width="74.28515625" customWidth="1"/>
    <col min="4" max="4" width="11.7109375" bestFit="1" customWidth="1"/>
    <col min="9" max="9" width="11.7109375" bestFit="1" customWidth="1"/>
    <col min="14" max="14" width="11.7109375" bestFit="1" customWidth="1"/>
    <col min="19" max="19" width="11.7109375" bestFit="1" customWidth="1"/>
    <col min="24" max="24" width="11.7109375" bestFit="1" customWidth="1"/>
  </cols>
  <sheetData>
    <row r="1" spans="1:32" s="54" customFormat="1" x14ac:dyDescent="0.25">
      <c r="A1" s="59" t="s">
        <v>132</v>
      </c>
    </row>
    <row r="2" spans="1:32" s="36" customFormat="1" x14ac:dyDescent="0.25">
      <c r="A2" s="1" t="s">
        <v>258</v>
      </c>
    </row>
    <row r="3" spans="1:32" s="36" customFormat="1" x14ac:dyDescent="0.25"/>
    <row r="4" spans="1:32" s="37" customFormat="1" x14ac:dyDescent="0.25">
      <c r="A4" s="58" t="s">
        <v>103</v>
      </c>
      <c r="B4" s="37" t="s">
        <v>637</v>
      </c>
    </row>
    <row r="5" spans="1:32" s="36" customFormat="1" x14ac:dyDescent="0.25"/>
    <row r="6" spans="1:32" s="36" customFormat="1" x14ac:dyDescent="0.25">
      <c r="B6" s="660" t="s">
        <v>567</v>
      </c>
      <c r="C6" s="672"/>
      <c r="D6" s="672"/>
      <c r="E6" s="672"/>
      <c r="F6" s="672"/>
      <c r="G6" s="672"/>
      <c r="H6" s="672"/>
      <c r="I6" s="672"/>
      <c r="J6" s="672"/>
      <c r="K6" s="672"/>
      <c r="L6" s="672"/>
      <c r="M6" s="672"/>
      <c r="N6" s="672"/>
      <c r="O6" s="672"/>
      <c r="P6" s="672"/>
      <c r="Q6" s="672"/>
      <c r="R6" s="672"/>
      <c r="S6" s="672"/>
      <c r="T6" s="672"/>
      <c r="U6" s="672"/>
      <c r="V6" s="672"/>
      <c r="W6" s="672"/>
      <c r="X6" s="672"/>
      <c r="Y6" s="672"/>
      <c r="Z6" s="672"/>
      <c r="AA6" s="672"/>
      <c r="AB6" s="113"/>
      <c r="AC6" s="113"/>
      <c r="AD6" s="113"/>
      <c r="AE6" s="113"/>
      <c r="AF6" s="246"/>
    </row>
    <row r="7" spans="1:32" s="36" customFormat="1" x14ac:dyDescent="0.25">
      <c r="B7" s="92" t="s">
        <v>52</v>
      </c>
      <c r="C7" s="658">
        <v>2009</v>
      </c>
      <c r="D7" s="644"/>
      <c r="E7" s="644"/>
      <c r="F7" s="644"/>
      <c r="G7" s="659"/>
      <c r="H7" s="658">
        <v>2010</v>
      </c>
      <c r="I7" s="644"/>
      <c r="J7" s="644"/>
      <c r="K7" s="644"/>
      <c r="L7" s="659"/>
      <c r="M7" s="658">
        <v>2011</v>
      </c>
      <c r="N7" s="644"/>
      <c r="O7" s="644"/>
      <c r="P7" s="644"/>
      <c r="Q7" s="659"/>
      <c r="R7" s="644">
        <v>2012</v>
      </c>
      <c r="S7" s="644"/>
      <c r="T7" s="644"/>
      <c r="U7" s="644"/>
      <c r="V7" s="659"/>
      <c r="W7" s="658">
        <v>2013</v>
      </c>
      <c r="X7" s="644"/>
      <c r="Y7" s="644"/>
      <c r="Z7" s="644"/>
      <c r="AA7" s="659"/>
      <c r="AB7" s="701" t="s">
        <v>447</v>
      </c>
      <c r="AC7" s="702"/>
      <c r="AD7" s="702"/>
      <c r="AE7" s="702"/>
      <c r="AF7" s="703"/>
    </row>
    <row r="8" spans="1:32" ht="15.75" thickBot="1" x14ac:dyDescent="0.3">
      <c r="B8" s="93"/>
      <c r="C8" s="81" t="s">
        <v>5</v>
      </c>
      <c r="D8" s="52" t="s">
        <v>51</v>
      </c>
      <c r="E8" s="52" t="s">
        <v>6</v>
      </c>
      <c r="F8" s="52" t="s">
        <v>7</v>
      </c>
      <c r="G8" s="82" t="s">
        <v>8</v>
      </c>
      <c r="H8" s="81" t="s">
        <v>5</v>
      </c>
      <c r="I8" s="52" t="s">
        <v>51</v>
      </c>
      <c r="J8" s="52" t="s">
        <v>6</v>
      </c>
      <c r="K8" s="52" t="s">
        <v>7</v>
      </c>
      <c r="L8" s="82" t="s">
        <v>8</v>
      </c>
      <c r="M8" s="81" t="s">
        <v>5</v>
      </c>
      <c r="N8" s="52" t="s">
        <v>51</v>
      </c>
      <c r="O8" s="52" t="s">
        <v>6</v>
      </c>
      <c r="P8" s="52" t="s">
        <v>7</v>
      </c>
      <c r="Q8" s="82" t="s">
        <v>8</v>
      </c>
      <c r="R8" s="83" t="s">
        <v>5</v>
      </c>
      <c r="S8" s="4" t="s">
        <v>51</v>
      </c>
      <c r="T8" s="4" t="s">
        <v>6</v>
      </c>
      <c r="U8" s="4" t="s">
        <v>7</v>
      </c>
      <c r="V8" s="84" t="s">
        <v>8</v>
      </c>
      <c r="W8" s="52" t="s">
        <v>5</v>
      </c>
      <c r="X8" s="52" t="s">
        <v>51</v>
      </c>
      <c r="Y8" s="52" t="s">
        <v>6</v>
      </c>
      <c r="Z8" s="52" t="s">
        <v>7</v>
      </c>
      <c r="AA8" s="82" t="s">
        <v>8</v>
      </c>
      <c r="AB8" s="160" t="s">
        <v>5</v>
      </c>
      <c r="AC8" s="160" t="s">
        <v>51</v>
      </c>
      <c r="AD8" s="160" t="s">
        <v>6</v>
      </c>
      <c r="AE8" s="160" t="s">
        <v>7</v>
      </c>
      <c r="AF8" s="184" t="s">
        <v>8</v>
      </c>
    </row>
    <row r="9" spans="1:32" ht="15.75" thickTop="1" x14ac:dyDescent="0.25">
      <c r="B9" s="94" t="s">
        <v>53</v>
      </c>
      <c r="C9" s="189">
        <v>1706.7885996860998</v>
      </c>
      <c r="D9" s="162">
        <v>6287.0214201875979</v>
      </c>
      <c r="E9" s="162">
        <v>3206.7553008690002</v>
      </c>
      <c r="F9" s="162">
        <v>7968.1312502009987</v>
      </c>
      <c r="G9" s="192">
        <f>SUM(C9:F9)</f>
        <v>19168.696570943699</v>
      </c>
      <c r="H9" s="189">
        <v>1622.1864801860002</v>
      </c>
      <c r="I9" s="162">
        <v>7162.4500974760003</v>
      </c>
      <c r="J9" s="162">
        <v>3533.6348560840001</v>
      </c>
      <c r="K9" s="162">
        <v>8198.3642557639996</v>
      </c>
      <c r="L9" s="192">
        <f>SUM(H9:K9)</f>
        <v>20516.63568951</v>
      </c>
      <c r="M9" s="189">
        <v>1673.1465287249998</v>
      </c>
      <c r="N9" s="162">
        <v>4477.7360672559998</v>
      </c>
      <c r="O9" s="162">
        <v>4443.9250756144993</v>
      </c>
      <c r="P9" s="162">
        <v>4385.4842724074997</v>
      </c>
      <c r="Q9" s="192">
        <f>SUM(M9:P9)</f>
        <v>14980.291944002998</v>
      </c>
      <c r="R9" s="189">
        <v>3369.1760204066004</v>
      </c>
      <c r="S9" s="162">
        <v>4608.7246895951994</v>
      </c>
      <c r="T9" s="162">
        <v>3813.1807652499997</v>
      </c>
      <c r="U9" s="162">
        <v>14367.265354565599</v>
      </c>
      <c r="V9" s="192">
        <f>SUM(R9:U9)</f>
        <v>26158.346829817398</v>
      </c>
      <c r="W9" s="162">
        <v>373.13865678299999</v>
      </c>
      <c r="X9" s="162">
        <v>8303.0256815909252</v>
      </c>
      <c r="Y9" s="162">
        <v>1567.6419681125999</v>
      </c>
      <c r="Z9" s="162">
        <v>51825.720801338</v>
      </c>
      <c r="AA9" s="192">
        <f>SUM(W9:Z9)</f>
        <v>62069.527107824528</v>
      </c>
      <c r="AB9" s="162">
        <v>228.53441000000001</v>
      </c>
      <c r="AC9" s="162">
        <v>6917.6121999999996</v>
      </c>
      <c r="AD9" s="162">
        <v>5113.0708800000002</v>
      </c>
      <c r="AE9" s="162">
        <v>36917.35716</v>
      </c>
      <c r="AF9" s="192">
        <f>SUM(AB9:AE9)</f>
        <v>49176.574649999995</v>
      </c>
    </row>
    <row r="10" spans="1:32" x14ac:dyDescent="0.25">
      <c r="B10" s="94" t="s">
        <v>54</v>
      </c>
      <c r="C10" s="189">
        <v>268.93860574499996</v>
      </c>
      <c r="D10" s="162">
        <v>1792.9589039909999</v>
      </c>
      <c r="E10" s="162">
        <v>135.90061204319997</v>
      </c>
      <c r="F10" s="162">
        <v>6494.5582379198986</v>
      </c>
      <c r="G10" s="192">
        <f t="shared" ref="G10:G21" si="0">SUM(C10:F10)</f>
        <v>8692.3563596990989</v>
      </c>
      <c r="H10" s="189">
        <v>416.62680929999993</v>
      </c>
      <c r="I10" s="162">
        <v>2758.3335438520007</v>
      </c>
      <c r="J10" s="162">
        <v>140.71013880799998</v>
      </c>
      <c r="K10" s="162">
        <v>5366.0805430159999</v>
      </c>
      <c r="L10" s="192">
        <f t="shared" ref="L10:L21" si="1">SUM(H10:K10)</f>
        <v>8681.7510349760014</v>
      </c>
      <c r="M10" s="189">
        <v>722.14520730000004</v>
      </c>
      <c r="N10" s="162">
        <v>2216.6550660365001</v>
      </c>
      <c r="O10" s="162">
        <v>200.8716170445</v>
      </c>
      <c r="P10" s="162">
        <v>7271.850033275</v>
      </c>
      <c r="Q10" s="192">
        <f t="shared" ref="Q10:Q21" si="2">SUM(M10:P10)</f>
        <v>10411.521923656001</v>
      </c>
      <c r="R10" s="189">
        <v>676.90366123999991</v>
      </c>
      <c r="S10" s="162">
        <v>3191.0343981255005</v>
      </c>
      <c r="T10" s="162">
        <v>202.11768864000004</v>
      </c>
      <c r="U10" s="162">
        <v>8807.5562633038007</v>
      </c>
      <c r="V10" s="192">
        <f t="shared" ref="V10:V21" si="3">SUM(R10:U10)</f>
        <v>12877.612011309302</v>
      </c>
      <c r="W10" s="162">
        <v>966.24993296340006</v>
      </c>
      <c r="X10" s="162">
        <v>3534.0850787116374</v>
      </c>
      <c r="Y10" s="162">
        <v>485.03424053200001</v>
      </c>
      <c r="Z10" s="162">
        <v>7786.9643511688</v>
      </c>
      <c r="AA10" s="192">
        <f t="shared" ref="AA10:AA21" si="4">SUM(W10:Z10)</f>
        <v>12772.333603375837</v>
      </c>
      <c r="AB10" s="162">
        <v>879.04259999999999</v>
      </c>
      <c r="AC10" s="162">
        <v>5035.3443299999999</v>
      </c>
      <c r="AD10" s="162">
        <v>1077.9872800000001</v>
      </c>
      <c r="AE10" s="162">
        <v>4804.8413099999998</v>
      </c>
      <c r="AF10" s="192">
        <f t="shared" ref="AF10:AF21" si="5">SUM(AB10:AE10)</f>
        <v>11797.21552</v>
      </c>
    </row>
    <row r="11" spans="1:32" x14ac:dyDescent="0.25">
      <c r="B11" s="94" t="s">
        <v>55</v>
      </c>
      <c r="C11" s="189">
        <v>1217.5023526092</v>
      </c>
      <c r="D11" s="162">
        <v>11733.147602495999</v>
      </c>
      <c r="E11" s="162">
        <v>4785.7107348594</v>
      </c>
      <c r="F11" s="162">
        <v>3305.5504836506993</v>
      </c>
      <c r="G11" s="192">
        <f t="shared" si="0"/>
        <v>21041.911173615299</v>
      </c>
      <c r="H11" s="189">
        <v>1415.809268366</v>
      </c>
      <c r="I11" s="162">
        <v>12597.738093882001</v>
      </c>
      <c r="J11" s="162">
        <v>5640.4199113380009</v>
      </c>
      <c r="K11" s="162">
        <v>2877.4273931340003</v>
      </c>
      <c r="L11" s="192">
        <f t="shared" si="1"/>
        <v>22531.39466672</v>
      </c>
      <c r="M11" s="189">
        <v>1825.4640098405</v>
      </c>
      <c r="N11" s="162">
        <v>12132.835513420001</v>
      </c>
      <c r="O11" s="162">
        <v>3993.3512610425</v>
      </c>
      <c r="P11" s="162">
        <v>4158.3902680339997</v>
      </c>
      <c r="Q11" s="192">
        <f t="shared" si="2"/>
        <v>22110.041052337001</v>
      </c>
      <c r="R11" s="189">
        <v>1888.8201253247</v>
      </c>
      <c r="S11" s="162">
        <v>13634.159299995101</v>
      </c>
      <c r="T11" s="162">
        <v>6857.3466415990997</v>
      </c>
      <c r="U11" s="162">
        <v>4991.7245252611001</v>
      </c>
      <c r="V11" s="192">
        <f t="shared" si="3"/>
        <v>27372.05059218</v>
      </c>
      <c r="W11" s="162">
        <v>1574.6638812272502</v>
      </c>
      <c r="X11" s="162">
        <v>15824.550802762444</v>
      </c>
      <c r="Y11" s="162">
        <v>4858.3956407813994</v>
      </c>
      <c r="Z11" s="162">
        <v>7030.88764137</v>
      </c>
      <c r="AA11" s="192">
        <f t="shared" si="4"/>
        <v>29288.497966141091</v>
      </c>
      <c r="AB11" s="162">
        <v>1882.44857</v>
      </c>
      <c r="AC11" s="162">
        <v>12351.325241300001</v>
      </c>
      <c r="AD11" s="162">
        <v>17506.37398</v>
      </c>
      <c r="AE11" s="162">
        <v>5251.8638762500004</v>
      </c>
      <c r="AF11" s="192">
        <f t="shared" si="5"/>
        <v>36992.011667550003</v>
      </c>
    </row>
    <row r="12" spans="1:32" x14ac:dyDescent="0.25">
      <c r="B12" s="94" t="s">
        <v>56</v>
      </c>
      <c r="C12" s="189">
        <v>444.68520801929998</v>
      </c>
      <c r="D12" s="162">
        <v>5290.8058117871988</v>
      </c>
      <c r="E12" s="162">
        <v>171.17010971099995</v>
      </c>
      <c r="F12" s="162">
        <v>960.86478621419997</v>
      </c>
      <c r="G12" s="192">
        <f t="shared" si="0"/>
        <v>6867.5259157316987</v>
      </c>
      <c r="H12" s="189">
        <v>615.14949164400002</v>
      </c>
      <c r="I12" s="162">
        <v>6655.2398340400005</v>
      </c>
      <c r="J12" s="162">
        <v>214.74283770200003</v>
      </c>
      <c r="K12" s="162">
        <v>1252.9877743040001</v>
      </c>
      <c r="L12" s="192">
        <f t="shared" si="1"/>
        <v>8738.1199376900004</v>
      </c>
      <c r="M12" s="189">
        <v>330.24516294199998</v>
      </c>
      <c r="N12" s="162">
        <v>5918.9001792785002</v>
      </c>
      <c r="O12" s="162">
        <v>431.66354323949997</v>
      </c>
      <c r="P12" s="162">
        <v>3155.9418142649997</v>
      </c>
      <c r="Q12" s="192">
        <f t="shared" si="2"/>
        <v>9836.7506997250002</v>
      </c>
      <c r="R12" s="189">
        <v>346.51104275609998</v>
      </c>
      <c r="S12" s="162">
        <v>7544.3333977168995</v>
      </c>
      <c r="T12" s="162">
        <v>430.31998407649996</v>
      </c>
      <c r="U12" s="162">
        <v>4651.2603468203997</v>
      </c>
      <c r="V12" s="192">
        <f t="shared" si="3"/>
        <v>12972.424771369899</v>
      </c>
      <c r="W12" s="162">
        <v>606.87245086270002</v>
      </c>
      <c r="X12" s="162">
        <v>9232.4063737089</v>
      </c>
      <c r="Y12" s="162">
        <v>824.31730104569999</v>
      </c>
      <c r="Z12" s="162">
        <v>4014.2033452537512</v>
      </c>
      <c r="AA12" s="192">
        <f t="shared" si="4"/>
        <v>14677.79947087105</v>
      </c>
      <c r="AB12" s="162">
        <v>525.46090249999997</v>
      </c>
      <c r="AC12" s="162">
        <v>7609.8895817200009</v>
      </c>
      <c r="AD12" s="162">
        <v>1249.059</v>
      </c>
      <c r="AE12" s="162">
        <v>5548.6462199999996</v>
      </c>
      <c r="AF12" s="192">
        <f t="shared" si="5"/>
        <v>14933.055704220002</v>
      </c>
    </row>
    <row r="13" spans="1:32" x14ac:dyDescent="0.25">
      <c r="B13" s="94" t="s">
        <v>57</v>
      </c>
      <c r="C13" s="189">
        <v>133.16854590899999</v>
      </c>
      <c r="D13" s="162">
        <v>16794.1712934522</v>
      </c>
      <c r="E13" s="162">
        <v>23984.968005611099</v>
      </c>
      <c r="F13" s="162">
        <v>24890.084646210897</v>
      </c>
      <c r="G13" s="192">
        <f t="shared" si="0"/>
        <v>65802.392491183185</v>
      </c>
      <c r="H13" s="189">
        <v>151.36576361000002</v>
      </c>
      <c r="I13" s="162">
        <v>15732.457023392002</v>
      </c>
      <c r="J13" s="162">
        <v>23089.082118803999</v>
      </c>
      <c r="K13" s="162">
        <v>27932.375458270002</v>
      </c>
      <c r="L13" s="192">
        <f t="shared" si="1"/>
        <v>66905.28036407601</v>
      </c>
      <c r="M13" s="189">
        <v>3946.7042949544998</v>
      </c>
      <c r="N13" s="162">
        <v>14958.587195458</v>
      </c>
      <c r="O13" s="162">
        <v>20642.225958897998</v>
      </c>
      <c r="P13" s="162">
        <v>43776.522977665503</v>
      </c>
      <c r="Q13" s="192">
        <f t="shared" si="2"/>
        <v>83324.040426976004</v>
      </c>
      <c r="R13" s="189">
        <v>3930.6765701466002</v>
      </c>
      <c r="S13" s="162">
        <v>14860.618485802501</v>
      </c>
      <c r="T13" s="162">
        <v>20548.606894490302</v>
      </c>
      <c r="U13" s="162">
        <v>44686.937617490497</v>
      </c>
      <c r="V13" s="192">
        <f t="shared" si="3"/>
        <v>84026.839567929899</v>
      </c>
      <c r="W13" s="162">
        <v>21094.920479073349</v>
      </c>
      <c r="X13" s="162">
        <v>14886.072445098431</v>
      </c>
      <c r="Y13" s="162">
        <v>1638.0870530615</v>
      </c>
      <c r="Z13" s="162">
        <v>32436.151772265901</v>
      </c>
      <c r="AA13" s="192">
        <f t="shared" si="4"/>
        <v>70055.231749499173</v>
      </c>
      <c r="AB13" s="162">
        <v>25246.128809999998</v>
      </c>
      <c r="AC13" s="162">
        <v>12119.705072500001</v>
      </c>
      <c r="AD13" s="162">
        <v>3644.6567700000001</v>
      </c>
      <c r="AE13" s="162">
        <v>33269.104065</v>
      </c>
      <c r="AF13" s="192">
        <f t="shared" si="5"/>
        <v>74279.594717500004</v>
      </c>
    </row>
    <row r="14" spans="1:32" x14ac:dyDescent="0.25">
      <c r="B14" s="94" t="s">
        <v>58</v>
      </c>
      <c r="C14" s="189">
        <v>1052.7658453151998</v>
      </c>
      <c r="D14" s="162">
        <v>25699.744527278399</v>
      </c>
      <c r="E14" s="162">
        <v>2038.0395997952999</v>
      </c>
      <c r="F14" s="162">
        <v>48415.878619600495</v>
      </c>
      <c r="G14" s="192">
        <f t="shared" si="0"/>
        <v>77206.428591989388</v>
      </c>
      <c r="H14" s="189">
        <v>1361.6301357000002</v>
      </c>
      <c r="I14" s="162">
        <v>25154.783928439996</v>
      </c>
      <c r="J14" s="162">
        <v>2238.9440899219999</v>
      </c>
      <c r="K14" s="162">
        <v>54596.688797584</v>
      </c>
      <c r="L14" s="192">
        <f t="shared" si="1"/>
        <v>83352.046951646</v>
      </c>
      <c r="M14" s="189">
        <v>446.27773185350003</v>
      </c>
      <c r="N14" s="162">
        <v>18441.840783923999</v>
      </c>
      <c r="O14" s="162">
        <v>3806.4655962805</v>
      </c>
      <c r="P14" s="162">
        <v>68367.764182392493</v>
      </c>
      <c r="Q14" s="192">
        <f t="shared" si="2"/>
        <v>91062.348294450494</v>
      </c>
      <c r="R14" s="189">
        <v>635.09179335680005</v>
      </c>
      <c r="S14" s="162">
        <v>21968.673164080003</v>
      </c>
      <c r="T14" s="162">
        <v>9432.1805578454005</v>
      </c>
      <c r="U14" s="162">
        <v>75157.664834674113</v>
      </c>
      <c r="V14" s="192">
        <f t="shared" si="3"/>
        <v>107193.61034995632</v>
      </c>
      <c r="W14" s="162">
        <v>3479.0041577314751</v>
      </c>
      <c r="X14" s="162">
        <v>20214.694058138059</v>
      </c>
      <c r="Y14" s="162">
        <v>2033.9151886669001</v>
      </c>
      <c r="Z14" s="162">
        <v>67936.634158083616</v>
      </c>
      <c r="AA14" s="192">
        <f t="shared" si="4"/>
        <v>93664.247562620047</v>
      </c>
      <c r="AB14" s="162">
        <v>2015.40575625</v>
      </c>
      <c r="AC14" s="162">
        <v>20196.854165000001</v>
      </c>
      <c r="AD14" s="162">
        <v>4327.3883699999997</v>
      </c>
      <c r="AE14" s="162">
        <v>68613.809510000006</v>
      </c>
      <c r="AF14" s="192">
        <f t="shared" si="5"/>
        <v>95153.457801250013</v>
      </c>
    </row>
    <row r="15" spans="1:32" x14ac:dyDescent="0.25">
      <c r="B15" s="94" t="s">
        <v>59</v>
      </c>
      <c r="C15" s="189">
        <v>0</v>
      </c>
      <c r="D15" s="162">
        <v>2990.1340802754007</v>
      </c>
      <c r="E15" s="162">
        <v>0</v>
      </c>
      <c r="F15" s="162">
        <v>1095.8616513090001</v>
      </c>
      <c r="G15" s="192">
        <f t="shared" si="0"/>
        <v>4085.9957315844008</v>
      </c>
      <c r="H15" s="189">
        <v>0</v>
      </c>
      <c r="I15" s="162">
        <v>3832.1525316340003</v>
      </c>
      <c r="J15" s="162">
        <v>0</v>
      </c>
      <c r="K15" s="162">
        <v>981.47073081600001</v>
      </c>
      <c r="L15" s="192">
        <f t="shared" si="1"/>
        <v>4813.6232624500008</v>
      </c>
      <c r="M15" s="189">
        <v>0</v>
      </c>
      <c r="N15" s="162">
        <v>4514.6452772115008</v>
      </c>
      <c r="O15" s="162">
        <v>0</v>
      </c>
      <c r="P15" s="162">
        <v>18.938443120000002</v>
      </c>
      <c r="Q15" s="192">
        <f t="shared" si="2"/>
        <v>4533.5837203315004</v>
      </c>
      <c r="R15" s="189">
        <v>0</v>
      </c>
      <c r="S15" s="162">
        <v>5445.8294733184011</v>
      </c>
      <c r="T15" s="162">
        <v>0</v>
      </c>
      <c r="U15" s="162">
        <v>45.031145750999997</v>
      </c>
      <c r="V15" s="192">
        <f t="shared" si="3"/>
        <v>5490.8606190694009</v>
      </c>
      <c r="W15" s="162">
        <v>0</v>
      </c>
      <c r="X15" s="162">
        <v>4581.1790094711414</v>
      </c>
      <c r="Y15" s="162">
        <v>11.018596571</v>
      </c>
      <c r="Z15" s="162">
        <v>493.61853858899997</v>
      </c>
      <c r="AA15" s="192">
        <f t="shared" si="4"/>
        <v>5085.8161446311415</v>
      </c>
      <c r="AB15" s="162">
        <v>0</v>
      </c>
      <c r="AC15" s="162">
        <v>1553.266885</v>
      </c>
      <c r="AD15" s="162">
        <v>8.3179999999999996</v>
      </c>
      <c r="AE15" s="162">
        <v>4880.4517400000004</v>
      </c>
      <c r="AF15" s="192">
        <f t="shared" si="5"/>
        <v>6442.0366250000006</v>
      </c>
    </row>
    <row r="16" spans="1:32" x14ac:dyDescent="0.25">
      <c r="B16" s="94" t="s">
        <v>60</v>
      </c>
      <c r="C16" s="189">
        <v>1417.5858935339998</v>
      </c>
      <c r="D16" s="162">
        <v>7.9636140449999999</v>
      </c>
      <c r="E16" s="162">
        <v>0</v>
      </c>
      <c r="F16" s="162">
        <v>73.653282000000004</v>
      </c>
      <c r="G16" s="192">
        <f t="shared" si="0"/>
        <v>1499.2027895789997</v>
      </c>
      <c r="H16" s="189">
        <v>1330.8973149980002</v>
      </c>
      <c r="I16" s="162">
        <v>88.499054660000013</v>
      </c>
      <c r="J16" s="162">
        <v>0</v>
      </c>
      <c r="K16" s="162">
        <v>74.326130000000006</v>
      </c>
      <c r="L16" s="192">
        <f t="shared" si="1"/>
        <v>1493.7224996580001</v>
      </c>
      <c r="M16" s="189">
        <v>2011.1879247884997</v>
      </c>
      <c r="N16" s="162">
        <v>290.638802462</v>
      </c>
      <c r="O16" s="162">
        <v>0</v>
      </c>
      <c r="P16" s="162">
        <v>653.92681359999983</v>
      </c>
      <c r="Q16" s="192">
        <f t="shared" si="2"/>
        <v>2955.7535408504991</v>
      </c>
      <c r="R16" s="189">
        <v>1536.2102033056999</v>
      </c>
      <c r="S16" s="162">
        <v>420.77668038029998</v>
      </c>
      <c r="T16" s="162">
        <v>0</v>
      </c>
      <c r="U16" s="162">
        <v>448.14569524000001</v>
      </c>
      <c r="V16" s="192">
        <f t="shared" si="3"/>
        <v>2405.132578926</v>
      </c>
      <c r="W16" s="162">
        <v>1097.1265360781999</v>
      </c>
      <c r="X16" s="162">
        <v>120.8770904239</v>
      </c>
      <c r="Y16" s="162">
        <v>0</v>
      </c>
      <c r="Z16" s="162">
        <v>132.12008155699999</v>
      </c>
      <c r="AA16" s="192">
        <f t="shared" si="4"/>
        <v>1350.1237080591</v>
      </c>
      <c r="AB16" s="162">
        <v>1155.9809499999999</v>
      </c>
      <c r="AC16" s="162">
        <v>4.5967599999999997</v>
      </c>
      <c r="AD16" s="162">
        <v>0</v>
      </c>
      <c r="AE16" s="162">
        <v>264.64314000000002</v>
      </c>
      <c r="AF16" s="192">
        <f t="shared" si="5"/>
        <v>1425.2208499999997</v>
      </c>
    </row>
    <row r="17" spans="2:33" x14ac:dyDescent="0.25">
      <c r="B17" s="94" t="s">
        <v>61</v>
      </c>
      <c r="C17" s="189">
        <v>1852.3932198839998</v>
      </c>
      <c r="D17" s="162">
        <v>25943.255608108499</v>
      </c>
      <c r="E17" s="162">
        <v>3155.3167899761997</v>
      </c>
      <c r="F17" s="162">
        <v>11315.216772677699</v>
      </c>
      <c r="G17" s="192">
        <f t="shared" si="0"/>
        <v>42266.182390646398</v>
      </c>
      <c r="H17" s="189">
        <v>3560.4022720600001</v>
      </c>
      <c r="I17" s="162">
        <v>28039.199703120001</v>
      </c>
      <c r="J17" s="162">
        <v>2773.1670512759997</v>
      </c>
      <c r="K17" s="162">
        <v>10045.809138546003</v>
      </c>
      <c r="L17" s="192">
        <f t="shared" si="1"/>
        <v>44418.578165002007</v>
      </c>
      <c r="M17" s="189">
        <v>1703.3108985495001</v>
      </c>
      <c r="N17" s="162">
        <v>25602.924085985498</v>
      </c>
      <c r="O17" s="162">
        <v>2525.1816188199996</v>
      </c>
      <c r="P17" s="162">
        <v>4906.0320370715008</v>
      </c>
      <c r="Q17" s="192">
        <f t="shared" si="2"/>
        <v>34737.448640426497</v>
      </c>
      <c r="R17" s="189">
        <v>1831.6511918568001</v>
      </c>
      <c r="S17" s="162">
        <v>29978.667182931698</v>
      </c>
      <c r="T17" s="162">
        <v>2924.5088908100001</v>
      </c>
      <c r="U17" s="162">
        <v>7693.994405284101</v>
      </c>
      <c r="V17" s="192">
        <f t="shared" si="3"/>
        <v>42428.8216708826</v>
      </c>
      <c r="W17" s="162">
        <v>2177.4661681263751</v>
      </c>
      <c r="X17" s="162">
        <v>31295.121108584404</v>
      </c>
      <c r="Y17" s="162">
        <v>1845.5869848934999</v>
      </c>
      <c r="Z17" s="162">
        <v>16758.584843462726</v>
      </c>
      <c r="AA17" s="192">
        <f t="shared" si="4"/>
        <v>52076.759105067002</v>
      </c>
      <c r="AB17" s="162">
        <v>1411.56323</v>
      </c>
      <c r="AC17" s="162">
        <v>23712.9031975</v>
      </c>
      <c r="AD17" s="162">
        <v>4770.9488099999999</v>
      </c>
      <c r="AE17" s="162">
        <v>17685.65972</v>
      </c>
      <c r="AF17" s="192">
        <f t="shared" si="5"/>
        <v>47581.074957499994</v>
      </c>
    </row>
    <row r="18" spans="2:33" x14ac:dyDescent="0.25">
      <c r="B18" s="94" t="s">
        <v>62</v>
      </c>
      <c r="C18" s="189">
        <v>1292.3605246490999</v>
      </c>
      <c r="D18" s="162">
        <v>13776.244723733398</v>
      </c>
      <c r="E18" s="162">
        <v>552.44667779999986</v>
      </c>
      <c r="F18" s="162">
        <v>954.37023747119997</v>
      </c>
      <c r="G18" s="192">
        <f t="shared" si="0"/>
        <v>16575.4221636537</v>
      </c>
      <c r="H18" s="189">
        <v>1462.427999648</v>
      </c>
      <c r="I18" s="162">
        <v>12416.644346288</v>
      </c>
      <c r="J18" s="162">
        <v>569.16368078000005</v>
      </c>
      <c r="K18" s="162">
        <v>919.947296704</v>
      </c>
      <c r="L18" s="192">
        <f t="shared" si="1"/>
        <v>15368.18332342</v>
      </c>
      <c r="M18" s="189">
        <v>1541.8391947499999</v>
      </c>
      <c r="N18" s="162">
        <v>9300.411559587501</v>
      </c>
      <c r="O18" s="162">
        <v>2390.5444889675</v>
      </c>
      <c r="P18" s="162">
        <v>816.48673611300001</v>
      </c>
      <c r="Q18" s="192">
        <f t="shared" si="2"/>
        <v>14049.281979418001</v>
      </c>
      <c r="R18" s="189">
        <v>1685.27998688</v>
      </c>
      <c r="S18" s="162">
        <v>9053.4935428990011</v>
      </c>
      <c r="T18" s="162">
        <v>3536.4033327783995</v>
      </c>
      <c r="U18" s="162">
        <v>747.37894538420005</v>
      </c>
      <c r="V18" s="192">
        <f t="shared" si="3"/>
        <v>15022.555807941601</v>
      </c>
      <c r="W18" s="162">
        <v>1857.6072939426001</v>
      </c>
      <c r="X18" s="162">
        <v>15192.850078540941</v>
      </c>
      <c r="Y18" s="162">
        <v>4108.6970609855998</v>
      </c>
      <c r="Z18" s="162">
        <v>2587.6162372120998</v>
      </c>
      <c r="AA18" s="192">
        <f t="shared" si="4"/>
        <v>23746.770670681242</v>
      </c>
      <c r="AB18" s="162">
        <v>1269.38678</v>
      </c>
      <c r="AC18" s="162">
        <v>16195.8906463</v>
      </c>
      <c r="AD18" s="162">
        <v>1441.2287200000001</v>
      </c>
      <c r="AE18" s="162">
        <v>1419.35221</v>
      </c>
      <c r="AF18" s="192">
        <f t="shared" si="5"/>
        <v>20325.858356299999</v>
      </c>
    </row>
    <row r="19" spans="2:33" x14ac:dyDescent="0.25">
      <c r="B19" s="94" t="s">
        <v>63</v>
      </c>
      <c r="C19" s="189">
        <v>210.92821016309998</v>
      </c>
      <c r="D19" s="162">
        <v>4328.1903482415</v>
      </c>
      <c r="E19" s="162">
        <v>836.66059772940002</v>
      </c>
      <c r="F19" s="162">
        <v>498.28821944399999</v>
      </c>
      <c r="G19" s="192">
        <f t="shared" si="0"/>
        <v>5874.0673755779999</v>
      </c>
      <c r="H19" s="189">
        <v>246.25232932800003</v>
      </c>
      <c r="I19" s="162">
        <v>4870.1936855260001</v>
      </c>
      <c r="J19" s="162">
        <v>1123.6146726600002</v>
      </c>
      <c r="K19" s="162">
        <v>534.02674265600001</v>
      </c>
      <c r="L19" s="192">
        <f t="shared" si="1"/>
        <v>6774.0874301700005</v>
      </c>
      <c r="M19" s="189">
        <v>119.72729610699999</v>
      </c>
      <c r="N19" s="162">
        <v>2109.9279722214997</v>
      </c>
      <c r="O19" s="162">
        <v>1092.9513659305001</v>
      </c>
      <c r="P19" s="162">
        <v>559.86125889950006</v>
      </c>
      <c r="Q19" s="192">
        <f t="shared" si="2"/>
        <v>3882.4678931584995</v>
      </c>
      <c r="R19" s="189">
        <v>116.84346738300002</v>
      </c>
      <c r="S19" s="162">
        <v>2444.3007399387006</v>
      </c>
      <c r="T19" s="162">
        <v>1277.3639456725002</v>
      </c>
      <c r="U19" s="162">
        <v>706.31597416169996</v>
      </c>
      <c r="V19" s="192">
        <f t="shared" si="3"/>
        <v>4544.8241271559009</v>
      </c>
      <c r="W19" s="162">
        <v>109.33099971999999</v>
      </c>
      <c r="X19" s="162">
        <v>2566.1719569669626</v>
      </c>
      <c r="Y19" s="162">
        <v>186.5852661296</v>
      </c>
      <c r="Z19" s="162">
        <v>746.21663923540007</v>
      </c>
      <c r="AA19" s="192">
        <f t="shared" si="4"/>
        <v>3608.3048620519626</v>
      </c>
      <c r="AB19" s="162">
        <v>161.2773</v>
      </c>
      <c r="AC19" s="162">
        <v>2290.25763938</v>
      </c>
      <c r="AD19" s="162">
        <v>191.7919</v>
      </c>
      <c r="AE19" s="162">
        <v>210.09922</v>
      </c>
      <c r="AF19" s="192">
        <f t="shared" si="5"/>
        <v>2853.4260593800004</v>
      </c>
    </row>
    <row r="20" spans="2:33" x14ac:dyDescent="0.25">
      <c r="B20" s="94" t="s">
        <v>64</v>
      </c>
      <c r="C20" s="189">
        <v>3136.6114918649996</v>
      </c>
      <c r="D20" s="162">
        <v>12867.394591209599</v>
      </c>
      <c r="E20" s="162">
        <v>960.72295070069993</v>
      </c>
      <c r="F20" s="162">
        <v>10042.824829348798</v>
      </c>
      <c r="G20" s="192">
        <f t="shared" si="0"/>
        <v>27007.5538631241</v>
      </c>
      <c r="H20" s="189">
        <v>3028.5031762900003</v>
      </c>
      <c r="I20" s="162">
        <v>11842.726226925999</v>
      </c>
      <c r="J20" s="162">
        <v>1500.3985172159998</v>
      </c>
      <c r="K20" s="162">
        <v>10244.294549278</v>
      </c>
      <c r="L20" s="192">
        <f t="shared" si="1"/>
        <v>26615.92246971</v>
      </c>
      <c r="M20" s="189">
        <v>2297.3455969149995</v>
      </c>
      <c r="N20" s="162">
        <v>8515.9989560385002</v>
      </c>
      <c r="O20" s="162">
        <v>2756.892634539</v>
      </c>
      <c r="P20" s="162">
        <v>1064.4178745599997</v>
      </c>
      <c r="Q20" s="192">
        <f t="shared" si="2"/>
        <v>14634.655062052501</v>
      </c>
      <c r="R20" s="189">
        <v>2589.1765016994996</v>
      </c>
      <c r="S20" s="162">
        <v>7032.5035437798006</v>
      </c>
      <c r="T20" s="162">
        <v>3092.6428371921002</v>
      </c>
      <c r="U20" s="162">
        <v>3958.7383163040004</v>
      </c>
      <c r="V20" s="192">
        <f t="shared" si="3"/>
        <v>16673.0611989754</v>
      </c>
      <c r="W20" s="162">
        <v>7957.893756357601</v>
      </c>
      <c r="X20" s="162">
        <v>11920.420043039348</v>
      </c>
      <c r="Y20" s="162">
        <v>1520.1338835351999</v>
      </c>
      <c r="Z20" s="162">
        <v>2472.8358810082</v>
      </c>
      <c r="AA20" s="192">
        <f t="shared" si="4"/>
        <v>23871.283563940349</v>
      </c>
      <c r="AB20" s="162">
        <v>5633.090295</v>
      </c>
      <c r="AC20" s="162">
        <v>8040.1773931299995</v>
      </c>
      <c r="AD20" s="162">
        <v>1160.8108</v>
      </c>
      <c r="AE20" s="162">
        <v>2288.9094049999999</v>
      </c>
      <c r="AF20" s="192">
        <f t="shared" si="5"/>
        <v>17122.987893129997</v>
      </c>
    </row>
    <row r="21" spans="2:33" x14ac:dyDescent="0.25">
      <c r="B21" s="95" t="s">
        <v>65</v>
      </c>
      <c r="C21" s="189">
        <v>624.9837596067</v>
      </c>
      <c r="D21" s="162">
        <v>31913.743777613996</v>
      </c>
      <c r="E21" s="162">
        <v>1898.1847007018996</v>
      </c>
      <c r="F21" s="162">
        <v>1408.3911754694998</v>
      </c>
      <c r="G21" s="192">
        <f t="shared" si="0"/>
        <v>35845.303413392096</v>
      </c>
      <c r="H21" s="189">
        <v>269.78379927000009</v>
      </c>
      <c r="I21" s="162">
        <v>30585.048849578005</v>
      </c>
      <c r="J21" s="162">
        <v>1964.4765904360004</v>
      </c>
      <c r="K21" s="162">
        <v>1315.5976953300003</v>
      </c>
      <c r="L21" s="192">
        <f t="shared" si="1"/>
        <v>34134.906934614002</v>
      </c>
      <c r="M21" s="189">
        <v>2033.4186050495</v>
      </c>
      <c r="N21" s="162">
        <v>43235.336430193012</v>
      </c>
      <c r="O21" s="162">
        <v>3406.4613984285002</v>
      </c>
      <c r="P21" s="162">
        <v>20558.227589725502</v>
      </c>
      <c r="Q21" s="192">
        <f t="shared" si="2"/>
        <v>69233.444023396514</v>
      </c>
      <c r="R21" s="189">
        <v>2071.8999443086</v>
      </c>
      <c r="S21" s="162">
        <v>53734.0271878563</v>
      </c>
      <c r="T21" s="162">
        <v>4104.4571945475</v>
      </c>
      <c r="U21" s="162">
        <v>8393.7486156614996</v>
      </c>
      <c r="V21" s="192">
        <f t="shared" si="3"/>
        <v>68304.132942373908</v>
      </c>
      <c r="W21" s="162">
        <v>5801.5692044986999</v>
      </c>
      <c r="X21" s="162">
        <v>82865.890600047947</v>
      </c>
      <c r="Y21" s="162">
        <v>4351.7176170392004</v>
      </c>
      <c r="Z21" s="162">
        <v>2069.5416345510748</v>
      </c>
      <c r="AA21" s="192">
        <f t="shared" si="4"/>
        <v>95088.719056136921</v>
      </c>
      <c r="AB21" s="163">
        <v>4975.1265000000003</v>
      </c>
      <c r="AC21" s="163">
        <v>101092.859926</v>
      </c>
      <c r="AD21" s="163">
        <v>2474.91354</v>
      </c>
      <c r="AE21" s="163">
        <v>5790.4534937500002</v>
      </c>
      <c r="AF21" s="192">
        <f t="shared" si="5"/>
        <v>114333.35345975</v>
      </c>
    </row>
    <row r="22" spans="2:33" s="64" customFormat="1" x14ac:dyDescent="0.25">
      <c r="B22" s="91" t="s">
        <v>8</v>
      </c>
      <c r="C22" s="190">
        <f>SUM(C9:C21)</f>
        <v>13358.712256985698</v>
      </c>
      <c r="D22" s="168">
        <f t="shared" ref="D22:AF22" si="6">SUM(D9:D21)</f>
        <v>159424.77630241981</v>
      </c>
      <c r="E22" s="168">
        <f t="shared" si="6"/>
        <v>41725.876079797199</v>
      </c>
      <c r="F22" s="168">
        <f t="shared" si="6"/>
        <v>117423.67419151738</v>
      </c>
      <c r="G22" s="501">
        <f t="shared" si="6"/>
        <v>331933.03883072006</v>
      </c>
      <c r="H22" s="190">
        <f t="shared" si="6"/>
        <v>15481.0348404</v>
      </c>
      <c r="I22" s="168">
        <f t="shared" si="6"/>
        <v>161735.46691881403</v>
      </c>
      <c r="J22" s="168">
        <f t="shared" si="6"/>
        <v>42788.354465026008</v>
      </c>
      <c r="K22" s="168">
        <f t="shared" si="6"/>
        <v>124339.39650540201</v>
      </c>
      <c r="L22" s="501">
        <f t="shared" si="6"/>
        <v>344344.25272964203</v>
      </c>
      <c r="M22" s="190">
        <f t="shared" si="6"/>
        <v>18650.812451775</v>
      </c>
      <c r="N22" s="168">
        <f t="shared" si="6"/>
        <v>151716.43788907252</v>
      </c>
      <c r="O22" s="168">
        <f t="shared" si="6"/>
        <v>45690.534558804997</v>
      </c>
      <c r="P22" s="168">
        <f t="shared" si="6"/>
        <v>159693.84430112899</v>
      </c>
      <c r="Q22" s="501">
        <f t="shared" si="6"/>
        <v>375751.62920078146</v>
      </c>
      <c r="R22" s="190">
        <f t="shared" si="6"/>
        <v>20678.240508664399</v>
      </c>
      <c r="S22" s="168">
        <f t="shared" si="6"/>
        <v>173917.14178641941</v>
      </c>
      <c r="T22" s="168">
        <f t="shared" si="6"/>
        <v>56219.128732901794</v>
      </c>
      <c r="U22" s="168">
        <f t="shared" si="6"/>
        <v>174655.76203990198</v>
      </c>
      <c r="V22" s="501">
        <f t="shared" si="6"/>
        <v>425470.27306788764</v>
      </c>
      <c r="W22" s="190">
        <f t="shared" si="6"/>
        <v>47095.84351736465</v>
      </c>
      <c r="X22" s="168">
        <f t="shared" si="6"/>
        <v>220537.34432708507</v>
      </c>
      <c r="Y22" s="168">
        <f t="shared" si="6"/>
        <v>23431.130801354204</v>
      </c>
      <c r="Z22" s="168">
        <f t="shared" si="6"/>
        <v>196291.09592509561</v>
      </c>
      <c r="AA22" s="501">
        <f t="shared" si="6"/>
        <v>487355.41457089945</v>
      </c>
      <c r="AB22" s="190">
        <f t="shared" si="6"/>
        <v>45383.44610375</v>
      </c>
      <c r="AC22" s="168">
        <f t="shared" si="6"/>
        <v>217120.68303782999</v>
      </c>
      <c r="AD22" s="168">
        <f t="shared" si="6"/>
        <v>42966.548049999998</v>
      </c>
      <c r="AE22" s="168">
        <f t="shared" si="6"/>
        <v>186945.19107000003</v>
      </c>
      <c r="AF22" s="501">
        <f t="shared" si="6"/>
        <v>492415.86826158001</v>
      </c>
    </row>
    <row r="23" spans="2:33" s="64" customFormat="1" x14ac:dyDescent="0.25">
      <c r="B23" s="89" t="s">
        <v>275</v>
      </c>
      <c r="C23" s="53"/>
      <c r="D23" s="53"/>
      <c r="E23" s="53"/>
      <c r="F23" s="53"/>
      <c r="G23" s="51"/>
      <c r="H23" s="53"/>
      <c r="I23" s="53"/>
      <c r="J23" s="53"/>
      <c r="K23" s="53"/>
      <c r="L23" s="51"/>
      <c r="M23" s="53"/>
      <c r="N23" s="53"/>
      <c r="O23" s="53"/>
      <c r="P23" s="53"/>
      <c r="Q23" s="51"/>
      <c r="R23" s="53"/>
      <c r="S23" s="53"/>
      <c r="T23" s="53"/>
      <c r="U23" s="53"/>
      <c r="V23" s="51"/>
      <c r="W23" s="53"/>
      <c r="X23" s="53"/>
      <c r="Y23" s="53"/>
      <c r="Z23" s="53"/>
      <c r="AA23" s="51"/>
    </row>
    <row r="24" spans="2:33" s="85" customFormat="1" x14ac:dyDescent="0.25">
      <c r="B24" s="700" t="s">
        <v>438</v>
      </c>
      <c r="C24" s="700"/>
      <c r="D24" s="700"/>
      <c r="E24" s="700"/>
      <c r="F24" s="700"/>
      <c r="G24" s="700"/>
      <c r="H24" s="700"/>
      <c r="I24" s="700"/>
      <c r="J24" s="96"/>
      <c r="K24" s="96"/>
      <c r="L24" s="97"/>
      <c r="M24" s="96"/>
      <c r="N24" s="96"/>
      <c r="O24" s="96"/>
      <c r="P24" s="96"/>
      <c r="Q24" s="97"/>
      <c r="R24" s="96"/>
      <c r="S24" s="96"/>
      <c r="T24" s="96"/>
      <c r="U24" s="96"/>
      <c r="V24" s="97"/>
      <c r="W24" s="96"/>
      <c r="X24" s="96"/>
      <c r="Y24" s="96"/>
      <c r="Z24" s="96"/>
      <c r="AA24" s="97"/>
    </row>
    <row r="25" spans="2:33" s="85" customFormat="1" x14ac:dyDescent="0.25">
      <c r="B25" s="700"/>
      <c r="C25" s="700"/>
      <c r="D25" s="700"/>
      <c r="E25" s="700"/>
      <c r="F25" s="700"/>
      <c r="G25" s="700"/>
      <c r="H25" s="700"/>
      <c r="I25" s="700"/>
      <c r="J25" s="96"/>
      <c r="K25" s="96"/>
      <c r="L25" s="97"/>
      <c r="M25" s="96"/>
      <c r="N25" s="96"/>
      <c r="O25" s="96"/>
      <c r="P25" s="96"/>
      <c r="Q25" s="97"/>
      <c r="R25" s="96"/>
      <c r="S25" s="96"/>
      <c r="T25" s="96"/>
      <c r="U25" s="96"/>
      <c r="V25" s="97"/>
      <c r="W25"/>
      <c r="X25"/>
      <c r="Y25"/>
      <c r="Z25"/>
      <c r="AA25"/>
      <c r="AB25"/>
    </row>
    <row r="26" spans="2:33" s="85" customFormat="1" x14ac:dyDescent="0.25">
      <c r="B26" s="89"/>
      <c r="C26" s="96"/>
      <c r="D26" s="96"/>
      <c r="E26" s="96"/>
      <c r="F26" s="96"/>
      <c r="G26" s="97"/>
      <c r="H26" s="96"/>
      <c r="I26" s="96"/>
      <c r="J26" s="96"/>
      <c r="K26" s="96"/>
      <c r="L26" s="97"/>
      <c r="M26" s="96"/>
      <c r="N26" s="96"/>
      <c r="O26" s="96"/>
      <c r="P26" s="96"/>
      <c r="Q26" s="97"/>
      <c r="R26" s="96"/>
      <c r="S26" s="96"/>
      <c r="T26" s="96"/>
      <c r="U26" s="96"/>
      <c r="V26" s="97"/>
      <c r="W26"/>
      <c r="X26"/>
      <c r="Y26"/>
      <c r="Z26"/>
      <c r="AA26"/>
      <c r="AB26" s="140"/>
      <c r="AC26"/>
      <c r="AD26"/>
    </row>
    <row r="27" spans="2:33" s="85" customFormat="1" x14ac:dyDescent="0.25">
      <c r="K27"/>
      <c r="L27"/>
      <c r="M27"/>
      <c r="N27"/>
      <c r="O27"/>
      <c r="P27"/>
      <c r="Q27"/>
      <c r="R27"/>
      <c r="S27"/>
      <c r="T27"/>
      <c r="U27"/>
      <c r="V27"/>
      <c r="W27"/>
      <c r="X27"/>
      <c r="Y27"/>
      <c r="Z27"/>
      <c r="AA27"/>
      <c r="AB27"/>
      <c r="AC27"/>
      <c r="AD27"/>
      <c r="AE27"/>
      <c r="AF27"/>
      <c r="AG27"/>
    </row>
    <row r="28" spans="2:33" s="85" customFormat="1" x14ac:dyDescent="0.25">
      <c r="B28" s="98" t="s">
        <v>131</v>
      </c>
      <c r="K28"/>
      <c r="L28"/>
      <c r="M28"/>
      <c r="N28"/>
      <c r="O28"/>
      <c r="P28"/>
      <c r="Q28"/>
      <c r="R28"/>
      <c r="S28"/>
      <c r="T28"/>
      <c r="U28"/>
      <c r="V28"/>
      <c r="W28"/>
      <c r="X28"/>
      <c r="Y28"/>
      <c r="Z28"/>
      <c r="AA28"/>
      <c r="AB28"/>
      <c r="AC28"/>
      <c r="AD28"/>
      <c r="AE28"/>
      <c r="AF28"/>
      <c r="AG28"/>
    </row>
    <row r="29" spans="2:33" s="85" customFormat="1" x14ac:dyDescent="0.25">
      <c r="B29" s="99"/>
      <c r="C29" s="100">
        <v>2009</v>
      </c>
      <c r="D29" s="100">
        <v>2010</v>
      </c>
      <c r="E29" s="100">
        <v>2011</v>
      </c>
      <c r="F29" s="100">
        <v>2012</v>
      </c>
      <c r="G29" s="100">
        <v>2013</v>
      </c>
      <c r="H29" s="100">
        <v>2014</v>
      </c>
      <c r="K29"/>
      <c r="L29"/>
      <c r="M29"/>
      <c r="N29"/>
      <c r="O29"/>
      <c r="P29"/>
      <c r="Q29"/>
      <c r="R29"/>
      <c r="S29"/>
      <c r="T29"/>
      <c r="U29"/>
      <c r="V29"/>
      <c r="W29"/>
      <c r="X29"/>
      <c r="Y29"/>
      <c r="Z29"/>
      <c r="AA29"/>
      <c r="AB29"/>
      <c r="AC29"/>
      <c r="AD29"/>
      <c r="AE29"/>
      <c r="AF29"/>
      <c r="AG29"/>
    </row>
    <row r="30" spans="2:33" s="85" customFormat="1" x14ac:dyDescent="0.25">
      <c r="B30" s="101" t="s">
        <v>53</v>
      </c>
      <c r="C30" s="102">
        <v>19168.696570943699</v>
      </c>
      <c r="D30" s="102">
        <v>20516.63568951</v>
      </c>
      <c r="E30" s="102">
        <v>14980.291944002998</v>
      </c>
      <c r="F30" s="102">
        <v>26158.346829817398</v>
      </c>
      <c r="G30" s="102">
        <v>62069.527107824528</v>
      </c>
      <c r="H30" s="102">
        <v>49176.574649999995</v>
      </c>
      <c r="K30"/>
      <c r="L30"/>
      <c r="M30"/>
      <c r="N30"/>
      <c r="O30"/>
      <c r="P30"/>
      <c r="Q30"/>
      <c r="R30"/>
      <c r="S30"/>
      <c r="T30"/>
      <c r="U30"/>
      <c r="V30"/>
      <c r="W30"/>
      <c r="X30"/>
      <c r="Y30"/>
      <c r="Z30"/>
      <c r="AA30"/>
      <c r="AB30"/>
      <c r="AC30"/>
      <c r="AD30"/>
      <c r="AE30"/>
      <c r="AF30"/>
      <c r="AG30"/>
    </row>
    <row r="31" spans="2:33" s="85" customFormat="1" x14ac:dyDescent="0.25">
      <c r="B31" s="101" t="s">
        <v>54</v>
      </c>
      <c r="C31" s="102">
        <v>8692.3563596990989</v>
      </c>
      <c r="D31" s="102">
        <v>8681.7510349760014</v>
      </c>
      <c r="E31" s="102">
        <v>10411.521923656001</v>
      </c>
      <c r="F31" s="102">
        <v>12877.612011309302</v>
      </c>
      <c r="G31" s="102">
        <v>12772.333603375837</v>
      </c>
      <c r="H31" s="102">
        <v>11797.21552</v>
      </c>
      <c r="K31"/>
      <c r="L31"/>
      <c r="M31"/>
      <c r="N31"/>
      <c r="O31"/>
      <c r="P31"/>
      <c r="Q31"/>
      <c r="R31"/>
      <c r="S31"/>
      <c r="T31"/>
      <c r="U31"/>
      <c r="V31"/>
      <c r="W31"/>
      <c r="X31"/>
      <c r="Y31"/>
      <c r="Z31"/>
      <c r="AA31"/>
      <c r="AB31"/>
      <c r="AC31"/>
      <c r="AD31"/>
      <c r="AE31"/>
      <c r="AF31"/>
      <c r="AG31"/>
    </row>
    <row r="32" spans="2:33" s="85" customFormat="1" x14ac:dyDescent="0.25">
      <c r="B32" s="101" t="s">
        <v>55</v>
      </c>
      <c r="C32" s="102">
        <v>21041.911173615299</v>
      </c>
      <c r="D32" s="102">
        <v>22531.39466672</v>
      </c>
      <c r="E32" s="102">
        <v>22110.041052337001</v>
      </c>
      <c r="F32" s="102">
        <v>27372.05059218</v>
      </c>
      <c r="G32" s="102">
        <v>29288.497966141091</v>
      </c>
      <c r="H32" s="102">
        <v>36992.011667550003</v>
      </c>
      <c r="K32"/>
      <c r="L32"/>
      <c r="M32"/>
      <c r="N32"/>
      <c r="O32"/>
      <c r="P32"/>
      <c r="Q32"/>
      <c r="R32"/>
      <c r="S32"/>
      <c r="T32"/>
      <c r="U32"/>
      <c r="V32"/>
      <c r="W32"/>
      <c r="X32"/>
      <c r="Y32"/>
      <c r="Z32"/>
      <c r="AA32"/>
      <c r="AB32"/>
      <c r="AC32"/>
      <c r="AD32"/>
      <c r="AE32"/>
      <c r="AF32"/>
      <c r="AG32"/>
    </row>
    <row r="33" spans="2:33" s="85" customFormat="1" x14ac:dyDescent="0.25">
      <c r="B33" s="101" t="s">
        <v>56</v>
      </c>
      <c r="C33" s="102">
        <v>6867.5259157316987</v>
      </c>
      <c r="D33" s="102">
        <v>8738.1199376900004</v>
      </c>
      <c r="E33" s="102">
        <v>9836.7506997250002</v>
      </c>
      <c r="F33" s="102">
        <v>12972.424771369899</v>
      </c>
      <c r="G33" s="102">
        <v>14677.79947087105</v>
      </c>
      <c r="H33" s="102">
        <v>14933.055704220002</v>
      </c>
      <c r="K33"/>
      <c r="L33"/>
      <c r="M33"/>
      <c r="N33"/>
      <c r="O33"/>
      <c r="P33"/>
      <c r="Q33"/>
      <c r="R33"/>
      <c r="S33"/>
      <c r="T33"/>
      <c r="U33"/>
      <c r="V33"/>
      <c r="W33"/>
      <c r="X33"/>
      <c r="Y33"/>
      <c r="Z33"/>
      <c r="AA33"/>
      <c r="AB33"/>
      <c r="AC33"/>
      <c r="AD33"/>
      <c r="AE33"/>
      <c r="AF33"/>
      <c r="AG33"/>
    </row>
    <row r="34" spans="2:33" s="85" customFormat="1" x14ac:dyDescent="0.25">
      <c r="B34" s="101" t="s">
        <v>57</v>
      </c>
      <c r="C34" s="102">
        <v>65802.392491183185</v>
      </c>
      <c r="D34" s="102">
        <v>66905.28036407601</v>
      </c>
      <c r="E34" s="102">
        <v>83324.040426976004</v>
      </c>
      <c r="F34" s="102">
        <v>84026.839567929899</v>
      </c>
      <c r="G34" s="102">
        <v>70055.231749499173</v>
      </c>
      <c r="H34" s="102">
        <v>74279.594717500004</v>
      </c>
      <c r="K34"/>
      <c r="L34"/>
      <c r="M34"/>
      <c r="N34"/>
      <c r="O34"/>
      <c r="P34"/>
      <c r="Q34"/>
      <c r="R34"/>
      <c r="S34"/>
      <c r="T34"/>
      <c r="U34"/>
      <c r="V34"/>
      <c r="W34"/>
      <c r="X34"/>
      <c r="Y34"/>
      <c r="Z34"/>
      <c r="AA34"/>
      <c r="AB34"/>
      <c r="AC34"/>
      <c r="AD34"/>
      <c r="AE34"/>
      <c r="AF34"/>
      <c r="AG34"/>
    </row>
    <row r="35" spans="2:33" s="85" customFormat="1" x14ac:dyDescent="0.25">
      <c r="B35" s="101" t="s">
        <v>58</v>
      </c>
      <c r="C35" s="102">
        <v>77206.428591989388</v>
      </c>
      <c r="D35" s="102">
        <v>83352.046951646</v>
      </c>
      <c r="E35" s="102">
        <v>91062.348294450494</v>
      </c>
      <c r="F35" s="102">
        <v>107193.61034995632</v>
      </c>
      <c r="G35" s="102">
        <v>93664.247562620047</v>
      </c>
      <c r="H35" s="102">
        <v>95153.457801250013</v>
      </c>
      <c r="K35"/>
      <c r="L35"/>
      <c r="M35"/>
      <c r="N35"/>
      <c r="O35"/>
      <c r="P35"/>
      <c r="Q35"/>
      <c r="R35"/>
      <c r="S35"/>
      <c r="T35"/>
      <c r="U35"/>
      <c r="V35"/>
      <c r="W35"/>
      <c r="X35"/>
      <c r="Y35"/>
      <c r="Z35"/>
      <c r="AA35"/>
      <c r="AB35"/>
      <c r="AC35"/>
      <c r="AD35"/>
      <c r="AE35"/>
      <c r="AF35"/>
      <c r="AG35"/>
    </row>
    <row r="36" spans="2:33" s="85" customFormat="1" x14ac:dyDescent="0.25">
      <c r="B36" s="101" t="s">
        <v>59</v>
      </c>
      <c r="C36" s="102">
        <v>4085.9957315844008</v>
      </c>
      <c r="D36" s="102">
        <v>4813.6232624500008</v>
      </c>
      <c r="E36" s="102">
        <v>4533.5837203315004</v>
      </c>
      <c r="F36" s="102">
        <v>5490.8606190694009</v>
      </c>
      <c r="G36" s="102">
        <v>5085.8161446311415</v>
      </c>
      <c r="H36" s="102">
        <v>6442.0366250000006</v>
      </c>
      <c r="K36"/>
      <c r="L36"/>
      <c r="M36"/>
      <c r="N36"/>
      <c r="O36"/>
      <c r="P36"/>
      <c r="Q36"/>
      <c r="R36"/>
      <c r="S36"/>
      <c r="T36"/>
      <c r="U36"/>
      <c r="V36"/>
      <c r="W36"/>
      <c r="X36"/>
      <c r="Y36"/>
      <c r="Z36"/>
      <c r="AA36"/>
      <c r="AB36"/>
      <c r="AC36"/>
      <c r="AD36"/>
      <c r="AE36"/>
      <c r="AF36"/>
      <c r="AG36"/>
    </row>
    <row r="37" spans="2:33" x14ac:dyDescent="0.25">
      <c r="B37" s="18" t="s">
        <v>60</v>
      </c>
      <c r="C37" s="60">
        <v>1499.2027895789997</v>
      </c>
      <c r="D37" s="60">
        <v>1493.7224996580001</v>
      </c>
      <c r="E37" s="60">
        <v>2955.7535408504991</v>
      </c>
      <c r="F37" s="60">
        <v>2405.132578926</v>
      </c>
      <c r="G37" s="60">
        <v>1350.1237080591</v>
      </c>
      <c r="H37" s="60">
        <v>1425.2208499999997</v>
      </c>
    </row>
    <row r="38" spans="2:33" x14ac:dyDescent="0.25">
      <c r="B38" s="18" t="s">
        <v>61</v>
      </c>
      <c r="C38" s="60">
        <v>42266.182390646398</v>
      </c>
      <c r="D38" s="60">
        <v>44418.578165002007</v>
      </c>
      <c r="E38" s="60">
        <v>34737.448640426497</v>
      </c>
      <c r="F38" s="60">
        <v>42428.8216708826</v>
      </c>
      <c r="G38" s="60">
        <v>52076.759105067002</v>
      </c>
      <c r="H38" s="60">
        <v>47581.074957499994</v>
      </c>
    </row>
    <row r="39" spans="2:33" x14ac:dyDescent="0.25">
      <c r="B39" s="10" t="s">
        <v>62</v>
      </c>
      <c r="C39" s="61">
        <v>16575.4221636537</v>
      </c>
      <c r="D39" s="61">
        <v>15368.18332342</v>
      </c>
      <c r="E39" s="61">
        <v>14049.281979418001</v>
      </c>
      <c r="F39" s="61">
        <v>15022.555807941601</v>
      </c>
      <c r="G39" s="61">
        <v>23746.770670681242</v>
      </c>
      <c r="H39" s="61">
        <v>20325.858356299999</v>
      </c>
    </row>
    <row r="40" spans="2:33" x14ac:dyDescent="0.25">
      <c r="B40" s="10" t="s">
        <v>63</v>
      </c>
      <c r="C40" s="61">
        <v>5874.0673755779999</v>
      </c>
      <c r="D40" s="61">
        <v>6774.0874301700005</v>
      </c>
      <c r="E40" s="61">
        <v>3882.4678931584995</v>
      </c>
      <c r="F40" s="61">
        <v>4544.8241271559009</v>
      </c>
      <c r="G40" s="61">
        <v>3608.3048620519626</v>
      </c>
      <c r="H40" s="61">
        <v>2853.4260593800004</v>
      </c>
    </row>
    <row r="41" spans="2:33" x14ac:dyDescent="0.25">
      <c r="B41" s="10" t="s">
        <v>64</v>
      </c>
      <c r="C41" s="61">
        <v>27007.5538631241</v>
      </c>
      <c r="D41" s="61">
        <v>26615.92246971</v>
      </c>
      <c r="E41" s="61">
        <v>14634.655062052501</v>
      </c>
      <c r="F41" s="61">
        <v>16673.0611989754</v>
      </c>
      <c r="G41" s="61">
        <v>23871.283563940349</v>
      </c>
      <c r="H41" s="61">
        <v>17122.987893129997</v>
      </c>
    </row>
    <row r="42" spans="2:33" x14ac:dyDescent="0.25">
      <c r="B42" s="11" t="s">
        <v>65</v>
      </c>
      <c r="C42" s="65">
        <v>35845.303413392096</v>
      </c>
      <c r="D42" s="65">
        <v>34134.906934614002</v>
      </c>
      <c r="E42" s="65">
        <v>69233.444023396514</v>
      </c>
      <c r="F42" s="65">
        <v>68304.132942373908</v>
      </c>
      <c r="G42" s="65">
        <v>95088.719056136921</v>
      </c>
      <c r="H42" s="65">
        <v>114333.35345975</v>
      </c>
    </row>
  </sheetData>
  <sheetProtection password="C69F" sheet="1" objects="1" scenarios="1"/>
  <mergeCells count="8">
    <mergeCell ref="AB7:AF7"/>
    <mergeCell ref="B24:I25"/>
    <mergeCell ref="B6:AA6"/>
    <mergeCell ref="C7:G7"/>
    <mergeCell ref="H7:L7"/>
    <mergeCell ref="M7:Q7"/>
    <mergeCell ref="R7:V7"/>
    <mergeCell ref="W7:AA7"/>
  </mergeCells>
  <hyperlinks>
    <hyperlink ref="A1" location="ÍNDICE!A1" display="ÍNDICE"/>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T43"/>
  <sheetViews>
    <sheetView zoomScale="90" zoomScaleNormal="90" workbookViewId="0"/>
  </sheetViews>
  <sheetFormatPr baseColWidth="10" defaultRowHeight="15" x14ac:dyDescent="0.25"/>
  <cols>
    <col min="7" max="7" width="16.140625" customWidth="1"/>
    <col min="8" max="8" width="20.42578125" style="64" customWidth="1"/>
    <col min="9" max="9" width="16.140625" style="64" customWidth="1"/>
    <col min="11" max="11" width="23.42578125" customWidth="1"/>
    <col min="12" max="12" width="37.42578125" customWidth="1"/>
  </cols>
  <sheetData>
    <row r="1" spans="1:20" s="54" customFormat="1" x14ac:dyDescent="0.25">
      <c r="A1" s="59" t="s">
        <v>132</v>
      </c>
      <c r="H1" s="64"/>
      <c r="I1" s="64"/>
    </row>
    <row r="2" spans="1:20" x14ac:dyDescent="0.25">
      <c r="A2" s="1" t="s">
        <v>277</v>
      </c>
    </row>
    <row r="4" spans="1:20" s="37" customFormat="1" x14ac:dyDescent="0.25">
      <c r="A4" s="58" t="s">
        <v>103</v>
      </c>
      <c r="B4" s="37" t="s">
        <v>638</v>
      </c>
      <c r="H4" s="64"/>
      <c r="I4" s="64"/>
      <c r="N4" s="55" t="s">
        <v>131</v>
      </c>
    </row>
    <row r="5" spans="1:20" x14ac:dyDescent="0.25">
      <c r="O5">
        <v>2009</v>
      </c>
      <c r="P5">
        <v>2010</v>
      </c>
      <c r="Q5" s="54">
        <v>2011</v>
      </c>
      <c r="R5" s="54">
        <v>2012</v>
      </c>
      <c r="S5" s="54">
        <v>2013</v>
      </c>
      <c r="T5" s="204">
        <v>2014</v>
      </c>
    </row>
    <row r="6" spans="1:20" x14ac:dyDescent="0.25">
      <c r="B6" s="644" t="s">
        <v>639</v>
      </c>
      <c r="C6" s="644"/>
      <c r="D6" s="644"/>
      <c r="E6" s="644"/>
      <c r="F6" s="644"/>
      <c r="G6" s="644"/>
      <c r="H6" s="644"/>
      <c r="I6" s="644"/>
      <c r="K6" s="644" t="s">
        <v>568</v>
      </c>
      <c r="L6" s="644"/>
      <c r="N6" s="33" t="s">
        <v>5</v>
      </c>
      <c r="O6" s="488">
        <v>328.51597680642266</v>
      </c>
      <c r="P6" s="96">
        <v>417.10649588289101</v>
      </c>
      <c r="Q6" s="488">
        <v>11.439686311787122</v>
      </c>
      <c r="R6" s="96">
        <v>84.777116504854348</v>
      </c>
      <c r="S6" s="96">
        <v>1126.90691655</v>
      </c>
      <c r="T6" s="96">
        <v>949.83299999999997</v>
      </c>
    </row>
    <row r="7" spans="1:20" ht="51" customHeight="1" thickBot="1" x14ac:dyDescent="0.3">
      <c r="B7" s="7"/>
      <c r="C7" s="80" t="s">
        <v>17</v>
      </c>
      <c r="D7" s="80" t="s">
        <v>18</v>
      </c>
      <c r="E7" s="80" t="s">
        <v>19</v>
      </c>
      <c r="F7" s="80" t="s">
        <v>21</v>
      </c>
      <c r="G7" s="80" t="s">
        <v>20</v>
      </c>
      <c r="H7" s="109" t="s">
        <v>280</v>
      </c>
      <c r="I7" s="109" t="s">
        <v>8</v>
      </c>
      <c r="K7" s="7"/>
      <c r="L7" s="12" t="s">
        <v>66</v>
      </c>
      <c r="N7" s="33" t="s">
        <v>51</v>
      </c>
      <c r="O7" s="488">
        <v>4631.7604014272929</v>
      </c>
      <c r="P7" s="96">
        <v>4396.8669716376917</v>
      </c>
      <c r="Q7" s="488">
        <v>3400.7067490494328</v>
      </c>
      <c r="R7" s="96">
        <v>4283.8609611650481</v>
      </c>
      <c r="S7" s="96">
        <v>5689.2367090600001</v>
      </c>
      <c r="T7" s="96">
        <v>4179.78</v>
      </c>
    </row>
    <row r="8" spans="1:20" ht="15.75" thickTop="1" x14ac:dyDescent="0.25">
      <c r="B8" s="9" t="s">
        <v>5</v>
      </c>
      <c r="C8" s="161">
        <f>721600/1000</f>
        <v>721.6</v>
      </c>
      <c r="D8" s="161">
        <v>0</v>
      </c>
      <c r="E8" s="161">
        <v>0</v>
      </c>
      <c r="F8" s="161">
        <f>74966/1000</f>
        <v>74.965999999999994</v>
      </c>
      <c r="G8" s="161">
        <v>0</v>
      </c>
      <c r="H8" s="161">
        <f xml:space="preserve"> 153267/1000</f>
        <v>153.267</v>
      </c>
      <c r="I8" s="161">
        <f>SUM(C8:H8)</f>
        <v>949.83300000000008</v>
      </c>
      <c r="K8" s="28">
        <v>2009</v>
      </c>
      <c r="L8" s="31"/>
      <c r="N8" s="33" t="s">
        <v>6</v>
      </c>
      <c r="O8" s="488">
        <v>2521.0714897412995</v>
      </c>
      <c r="P8" s="96">
        <v>2845.5235132662392</v>
      </c>
      <c r="Q8" s="488">
        <v>2939.9993821292787</v>
      </c>
      <c r="R8" s="96">
        <v>2425.0441844660236</v>
      </c>
      <c r="S8" s="96">
        <v>751.74846802000002</v>
      </c>
      <c r="T8" s="96">
        <v>2287.0839999999998</v>
      </c>
    </row>
    <row r="9" spans="1:20" x14ac:dyDescent="0.25">
      <c r="B9" s="10" t="s">
        <v>51</v>
      </c>
      <c r="C9" s="162">
        <f xml:space="preserve"> 2075228/1000</f>
        <v>2075.2280000000001</v>
      </c>
      <c r="D9" s="162">
        <v>0</v>
      </c>
      <c r="E9" s="162">
        <v>0</v>
      </c>
      <c r="F9" s="162">
        <f>482252/1000</f>
        <v>482.25200000000001</v>
      </c>
      <c r="G9" s="162">
        <v>0</v>
      </c>
      <c r="H9" s="162">
        <f>1622300/1000</f>
        <v>1622.3</v>
      </c>
      <c r="I9" s="162">
        <f>SUM(C9:H9)</f>
        <v>4179.78</v>
      </c>
      <c r="K9" s="33" t="s">
        <v>5</v>
      </c>
      <c r="L9" s="167">
        <f>279.21498661909*'ANEXO 1'!E6</f>
        <v>328.51597680642266</v>
      </c>
      <c r="N9" s="33" t="s">
        <v>7</v>
      </c>
      <c r="O9" s="488">
        <v>280.2356735057981</v>
      </c>
      <c r="P9" s="96">
        <v>149.48929551692595</v>
      </c>
      <c r="Q9" s="488">
        <v>398.3090779467683</v>
      </c>
      <c r="R9" s="96">
        <v>251.19145631067954</v>
      </c>
      <c r="S9" s="96">
        <v>2993.9192758999998</v>
      </c>
      <c r="T9" s="96">
        <v>3602.7849999999999</v>
      </c>
    </row>
    <row r="10" spans="1:20" x14ac:dyDescent="0.25">
      <c r="B10" s="10" t="s">
        <v>6</v>
      </c>
      <c r="C10" s="162">
        <f>1558212/1000</f>
        <v>1558.212</v>
      </c>
      <c r="D10" s="162">
        <v>0</v>
      </c>
      <c r="E10" s="162">
        <v>0</v>
      </c>
      <c r="F10" s="162">
        <f>22196/1000</f>
        <v>22.196000000000002</v>
      </c>
      <c r="G10" s="162">
        <v>0</v>
      </c>
      <c r="H10" s="162">
        <f>706676/1000</f>
        <v>706.67600000000004</v>
      </c>
      <c r="I10" s="162">
        <f t="shared" ref="I10:I11" si="0">SUM(C10:H10)</f>
        <v>2287.0839999999998</v>
      </c>
      <c r="K10" s="33" t="s">
        <v>51</v>
      </c>
      <c r="L10" s="167">
        <f>3936.66369313113*'ANEXO 1'!E6</f>
        <v>4631.7604014272929</v>
      </c>
      <c r="N10" s="33" t="s">
        <v>8</v>
      </c>
      <c r="O10" s="97">
        <v>7761.5835414808134</v>
      </c>
      <c r="P10" s="97">
        <v>7808.9862763037481</v>
      </c>
      <c r="Q10" s="97">
        <v>6750.4548954372667</v>
      </c>
      <c r="R10" s="97">
        <v>7044.8737184466054</v>
      </c>
      <c r="S10" s="97">
        <v>10561.81136953</v>
      </c>
      <c r="T10" s="97">
        <v>11019.482</v>
      </c>
    </row>
    <row r="11" spans="1:20" x14ac:dyDescent="0.25">
      <c r="B11" s="10" t="s">
        <v>7</v>
      </c>
      <c r="C11" s="162">
        <f>3365703/1000</f>
        <v>3365.703</v>
      </c>
      <c r="D11" s="162">
        <v>0</v>
      </c>
      <c r="E11" s="162">
        <v>0</v>
      </c>
      <c r="F11" s="162">
        <f xml:space="preserve"> 135226/1000</f>
        <v>135.226</v>
      </c>
      <c r="G11" s="162">
        <v>0</v>
      </c>
      <c r="H11" s="162">
        <f>101856/1000</f>
        <v>101.85599999999999</v>
      </c>
      <c r="I11" s="162">
        <f t="shared" si="0"/>
        <v>3602.7849999999999</v>
      </c>
      <c r="K11" s="33" t="s">
        <v>6</v>
      </c>
      <c r="L11" s="167">
        <f>2142.72970561998*'ANEXO 1'!E6</f>
        <v>2521.0714897412995</v>
      </c>
      <c r="O11" s="85"/>
      <c r="P11" s="85"/>
      <c r="Q11" s="85"/>
      <c r="R11" s="85"/>
      <c r="S11" s="85"/>
      <c r="T11" s="85"/>
    </row>
    <row r="12" spans="1:20" x14ac:dyDescent="0.25">
      <c r="B12" s="17" t="s">
        <v>8</v>
      </c>
      <c r="C12" s="168">
        <f>SUM(C8:C11)</f>
        <v>7720.7430000000004</v>
      </c>
      <c r="D12" s="168">
        <f t="shared" ref="D12:I12" si="1">SUM(D8:D11)</f>
        <v>0</v>
      </c>
      <c r="E12" s="168">
        <f t="shared" si="1"/>
        <v>0</v>
      </c>
      <c r="F12" s="168">
        <f t="shared" si="1"/>
        <v>714.64</v>
      </c>
      <c r="G12" s="168">
        <f t="shared" si="1"/>
        <v>0</v>
      </c>
      <c r="H12" s="168">
        <f t="shared" si="1"/>
        <v>2584.0990000000002</v>
      </c>
      <c r="I12" s="168">
        <f t="shared" si="1"/>
        <v>11019.482</v>
      </c>
      <c r="K12" s="33" t="s">
        <v>7</v>
      </c>
      <c r="L12" s="167">
        <f>238.180196253345*'ANEXO 1'!E6</f>
        <v>280.2356735057981</v>
      </c>
    </row>
    <row r="13" spans="1:20" x14ac:dyDescent="0.25">
      <c r="B13" s="10" t="s">
        <v>441</v>
      </c>
      <c r="K13" s="33" t="s">
        <v>8</v>
      </c>
      <c r="L13" s="50">
        <f>SUM(L9:L12)</f>
        <v>7761.5835414808134</v>
      </c>
    </row>
    <row r="14" spans="1:20" x14ac:dyDescent="0.25">
      <c r="B14" s="89" t="s">
        <v>275</v>
      </c>
      <c r="K14" s="29">
        <v>2010</v>
      </c>
      <c r="L14" s="178"/>
    </row>
    <row r="15" spans="1:20" x14ac:dyDescent="0.25">
      <c r="K15" s="33" t="s">
        <v>5</v>
      </c>
      <c r="L15" s="162">
        <f>365.050320219579*'ANEXO 1'!F6</f>
        <v>417.10649588289101</v>
      </c>
    </row>
    <row r="16" spans="1:20" x14ac:dyDescent="0.25">
      <c r="K16" s="33" t="s">
        <v>51</v>
      </c>
      <c r="L16" s="162">
        <f>3848.12442817932*'ANEXO 1'!F6</f>
        <v>4396.8669716376917</v>
      </c>
    </row>
    <row r="17" spans="11:12" x14ac:dyDescent="0.25">
      <c r="K17" s="33" t="s">
        <v>6</v>
      </c>
      <c r="L17" s="162">
        <f>2490.3934126258*'ANEXO 1'!F6</f>
        <v>2845.5235132662392</v>
      </c>
    </row>
    <row r="18" spans="11:12" x14ac:dyDescent="0.25">
      <c r="K18" s="33" t="s">
        <v>7</v>
      </c>
      <c r="L18" s="162">
        <f>130.832570905764*'ANEXO 1'!F6</f>
        <v>149.48929551692595</v>
      </c>
    </row>
    <row r="19" spans="11:12" x14ac:dyDescent="0.25">
      <c r="K19" s="34" t="s">
        <v>8</v>
      </c>
      <c r="L19" s="164">
        <f>SUM(L15:L18)</f>
        <v>7808.9862763037481</v>
      </c>
    </row>
    <row r="20" spans="11:12" x14ac:dyDescent="0.25">
      <c r="K20" s="28">
        <v>2011</v>
      </c>
      <c r="L20" s="167"/>
    </row>
    <row r="21" spans="11:12" x14ac:dyDescent="0.25">
      <c r="K21" s="33" t="s">
        <v>5</v>
      </c>
      <c r="L21" s="167">
        <f>10.4562737642586*'ANEXO 1'!G6</f>
        <v>11.439686311787122</v>
      </c>
    </row>
    <row r="22" spans="11:12" x14ac:dyDescent="0.25">
      <c r="K22" s="33" t="s">
        <v>51</v>
      </c>
      <c r="L22" s="167">
        <f>3108.36501901141*'ANEXO 1'!G6</f>
        <v>3400.7067490494328</v>
      </c>
    </row>
    <row r="23" spans="11:12" x14ac:dyDescent="0.25">
      <c r="K23" s="33" t="s">
        <v>6</v>
      </c>
      <c r="L23" s="167">
        <f>2687.26235741445*'ANEXO 1'!G6</f>
        <v>2939.9993821292787</v>
      </c>
    </row>
    <row r="24" spans="11:12" x14ac:dyDescent="0.25">
      <c r="K24" s="33" t="s">
        <v>7</v>
      </c>
      <c r="L24" s="167">
        <f>364.068441064639*'ANEXO 1'!G6</f>
        <v>398.3090779467683</v>
      </c>
    </row>
    <row r="25" spans="11:12" x14ac:dyDescent="0.25">
      <c r="K25" s="33" t="s">
        <v>8</v>
      </c>
      <c r="L25" s="50">
        <f>SUM(L20:L24)</f>
        <v>6750.4548954372667</v>
      </c>
    </row>
    <row r="26" spans="11:12" x14ac:dyDescent="0.25">
      <c r="K26" s="29">
        <v>2012</v>
      </c>
      <c r="L26" s="178"/>
    </row>
    <row r="27" spans="11:12" x14ac:dyDescent="0.25">
      <c r="K27" s="33" t="s">
        <v>5</v>
      </c>
      <c r="L27" s="162">
        <f>78.6407766990291*'ANEXO 1'!H6</f>
        <v>84.777116504854348</v>
      </c>
    </row>
    <row r="28" spans="11:12" x14ac:dyDescent="0.25">
      <c r="K28" s="33" t="s">
        <v>51</v>
      </c>
      <c r="L28" s="162">
        <f>3973.78640776699*'ANEXO 1'!H6</f>
        <v>4283.8609611650481</v>
      </c>
    </row>
    <row r="29" spans="11:12" x14ac:dyDescent="0.25">
      <c r="K29" s="33" t="s">
        <v>6</v>
      </c>
      <c r="L29" s="162">
        <f>2249.5145631068*'ANEXO 1'!H6</f>
        <v>2425.0441844660236</v>
      </c>
    </row>
    <row r="30" spans="11:12" x14ac:dyDescent="0.25">
      <c r="K30" s="33" t="s">
        <v>7</v>
      </c>
      <c r="L30" s="162">
        <f>233.009708737864*'ANEXO 1'!H6</f>
        <v>251.19145631067954</v>
      </c>
    </row>
    <row r="31" spans="11:12" x14ac:dyDescent="0.25">
      <c r="K31" s="34" t="s">
        <v>8</v>
      </c>
      <c r="L31" s="164">
        <f>SUM(L27:L30)</f>
        <v>7044.8737184466054</v>
      </c>
    </row>
    <row r="32" spans="11:12" x14ac:dyDescent="0.25">
      <c r="K32" s="29">
        <v>2013</v>
      </c>
      <c r="L32" s="178"/>
    </row>
    <row r="33" spans="11:12" x14ac:dyDescent="0.25">
      <c r="K33" s="33" t="s">
        <v>5</v>
      </c>
      <c r="L33" s="162">
        <f>1076.865*'ANEXO 1'!I6</f>
        <v>1126.90691655</v>
      </c>
    </row>
    <row r="34" spans="11:12" x14ac:dyDescent="0.25">
      <c r="K34" s="33" t="s">
        <v>51</v>
      </c>
      <c r="L34" s="162">
        <f>5436.598*'ANEXO 1'!I6</f>
        <v>5689.2367090600001</v>
      </c>
    </row>
    <row r="35" spans="11:12" x14ac:dyDescent="0.25">
      <c r="K35" s="33" t="s">
        <v>6</v>
      </c>
      <c r="L35" s="162">
        <f>718.366*'ANEXO 1'!I6</f>
        <v>751.74846802000002</v>
      </c>
    </row>
    <row r="36" spans="11:12" x14ac:dyDescent="0.25">
      <c r="K36" s="33" t="s">
        <v>7</v>
      </c>
      <c r="L36" s="162">
        <f>2860.97*'ANEXO 1'!I6</f>
        <v>2993.9192758999998</v>
      </c>
    </row>
    <row r="37" spans="11:12" x14ac:dyDescent="0.25">
      <c r="K37" s="34" t="s">
        <v>8</v>
      </c>
      <c r="L37" s="179">
        <f>SUM(L33:L36)</f>
        <v>10561.81136953</v>
      </c>
    </row>
    <row r="38" spans="11:12" x14ac:dyDescent="0.25">
      <c r="K38" s="172" t="s">
        <v>447</v>
      </c>
      <c r="L38" s="178"/>
    </row>
    <row r="39" spans="11:12" x14ac:dyDescent="0.25">
      <c r="K39" s="173" t="s">
        <v>5</v>
      </c>
      <c r="L39" s="162">
        <f xml:space="preserve"> 949833/1000</f>
        <v>949.83299999999997</v>
      </c>
    </row>
    <row r="40" spans="11:12" x14ac:dyDescent="0.25">
      <c r="K40" s="173" t="s">
        <v>51</v>
      </c>
      <c r="L40" s="162">
        <f>4179780/1000</f>
        <v>4179.78</v>
      </c>
    </row>
    <row r="41" spans="11:12" x14ac:dyDescent="0.25">
      <c r="K41" s="173" t="s">
        <v>6</v>
      </c>
      <c r="L41" s="162">
        <f xml:space="preserve"> 2287084/1000</f>
        <v>2287.0839999999998</v>
      </c>
    </row>
    <row r="42" spans="11:12" x14ac:dyDescent="0.25">
      <c r="K42" s="173" t="s">
        <v>7</v>
      </c>
      <c r="L42" s="162">
        <f>3602785/1000</f>
        <v>3602.7849999999999</v>
      </c>
    </row>
    <row r="43" spans="11:12" x14ac:dyDescent="0.25">
      <c r="K43" s="34" t="s">
        <v>8</v>
      </c>
      <c r="L43" s="164">
        <f>SUM(L39:L42)</f>
        <v>11019.482</v>
      </c>
    </row>
  </sheetData>
  <sheetProtection password="C69F" sheet="1" objects="1" scenarios="1"/>
  <mergeCells count="2">
    <mergeCell ref="K6:L6"/>
    <mergeCell ref="B6:I6"/>
  </mergeCells>
  <hyperlinks>
    <hyperlink ref="A1" location="ÍNDICE!A1" display="ÍNDICE"/>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N47"/>
  <sheetViews>
    <sheetView zoomScale="90" zoomScaleNormal="90" workbookViewId="0"/>
  </sheetViews>
  <sheetFormatPr baseColWidth="10" defaultRowHeight="15" x14ac:dyDescent="0.25"/>
  <cols>
    <col min="2" max="2" width="16.7109375" customWidth="1"/>
    <col min="3" max="3" width="13" customWidth="1"/>
    <col min="7" max="7" width="12.85546875" customWidth="1"/>
  </cols>
  <sheetData>
    <row r="1" spans="1:13" x14ac:dyDescent="0.25">
      <c r="A1" s="59" t="s">
        <v>132</v>
      </c>
    </row>
    <row r="2" spans="1:13" x14ac:dyDescent="0.25">
      <c r="A2" s="1" t="s">
        <v>368</v>
      </c>
    </row>
    <row r="4" spans="1:13" x14ac:dyDescent="0.25">
      <c r="A4" s="58" t="s">
        <v>103</v>
      </c>
      <c r="B4" t="s">
        <v>569</v>
      </c>
    </row>
    <row r="7" spans="1:13" x14ac:dyDescent="0.25">
      <c r="B7" s="115"/>
      <c r="C7" s="704" t="s">
        <v>405</v>
      </c>
      <c r="D7" s="705"/>
      <c r="E7" s="705"/>
      <c r="F7" s="705"/>
      <c r="G7" s="705"/>
      <c r="H7" s="705"/>
      <c r="I7" s="113"/>
      <c r="J7" s="246"/>
      <c r="K7" s="139"/>
      <c r="L7" s="139"/>
      <c r="M7" s="139"/>
    </row>
    <row r="8" spans="1:13" x14ac:dyDescent="0.25">
      <c r="B8" s="116"/>
      <c r="C8" s="704" t="s">
        <v>0</v>
      </c>
      <c r="D8" s="706"/>
      <c r="E8" s="704" t="s">
        <v>1</v>
      </c>
      <c r="F8" s="706"/>
      <c r="G8" s="704">
        <v>2013</v>
      </c>
      <c r="H8" s="706"/>
      <c r="I8" s="707" t="s">
        <v>447</v>
      </c>
      <c r="J8" s="708"/>
      <c r="K8" s="139"/>
      <c r="L8" s="139"/>
      <c r="M8" s="139"/>
    </row>
    <row r="9" spans="1:13" ht="15.75" thickBot="1" x14ac:dyDescent="0.3">
      <c r="B9" s="117"/>
      <c r="C9" s="52" t="s">
        <v>282</v>
      </c>
      <c r="D9" s="82" t="s">
        <v>183</v>
      </c>
      <c r="E9" s="52" t="s">
        <v>282</v>
      </c>
      <c r="F9" s="52" t="s">
        <v>183</v>
      </c>
      <c r="G9" s="81" t="s">
        <v>282</v>
      </c>
      <c r="H9" s="82" t="s">
        <v>183</v>
      </c>
      <c r="I9" s="183" t="s">
        <v>282</v>
      </c>
      <c r="J9" s="184" t="s">
        <v>183</v>
      </c>
      <c r="K9" s="139"/>
      <c r="L9" s="139"/>
      <c r="M9" s="139"/>
    </row>
    <row r="10" spans="1:13" ht="15.75" thickTop="1" x14ac:dyDescent="0.25">
      <c r="B10" s="94" t="s">
        <v>159</v>
      </c>
      <c r="C10" s="558">
        <v>654</v>
      </c>
      <c r="D10" s="199">
        <f t="shared" ref="D10:D15" si="0">C10/$C$15</f>
        <v>0.71553610503282272</v>
      </c>
      <c r="E10" s="161">
        <v>1249</v>
      </c>
      <c r="F10" s="169">
        <f t="shared" ref="F10:F15" si="1">E10/$E$15</f>
        <v>0.60601649684619119</v>
      </c>
      <c r="G10" s="197">
        <f xml:space="preserve"> 1278</f>
        <v>1278</v>
      </c>
      <c r="H10" s="199">
        <f>G10/$G$15</f>
        <v>0.56825255669186303</v>
      </c>
      <c r="I10" s="197">
        <f>1218</f>
        <v>1218</v>
      </c>
      <c r="J10" s="199">
        <f>I10/$I$15</f>
        <v>0.52864583333333337</v>
      </c>
      <c r="K10" s="139"/>
      <c r="L10" s="139"/>
      <c r="M10" s="139"/>
    </row>
    <row r="11" spans="1:13" x14ac:dyDescent="0.25">
      <c r="B11" s="94" t="s">
        <v>160</v>
      </c>
      <c r="C11" s="532">
        <v>158</v>
      </c>
      <c r="D11" s="185">
        <f t="shared" si="0"/>
        <v>0.17286652078774617</v>
      </c>
      <c r="E11" s="158">
        <v>374</v>
      </c>
      <c r="F11" s="526">
        <f t="shared" si="1"/>
        <v>0.18146530810286268</v>
      </c>
      <c r="G11" s="532">
        <f xml:space="preserve"> 413</f>
        <v>413</v>
      </c>
      <c r="H11" s="185">
        <f>G11/$G$15</f>
        <v>0.18363717207647842</v>
      </c>
      <c r="I11" s="532">
        <f>415</f>
        <v>415</v>
      </c>
      <c r="J11" s="185">
        <f>I11/$I$15</f>
        <v>0.18012152777777779</v>
      </c>
      <c r="K11" s="139"/>
      <c r="L11" s="139"/>
      <c r="M11" s="139"/>
    </row>
    <row r="12" spans="1:13" x14ac:dyDescent="0.25">
      <c r="B12" s="94" t="s">
        <v>161</v>
      </c>
      <c r="C12" s="532">
        <v>84</v>
      </c>
      <c r="D12" s="185">
        <f t="shared" si="0"/>
        <v>9.1903719912472648E-2</v>
      </c>
      <c r="E12" s="158">
        <v>330</v>
      </c>
      <c r="F12" s="526">
        <f t="shared" si="1"/>
        <v>0.16011644832605532</v>
      </c>
      <c r="G12" s="532">
        <f xml:space="preserve"> 372</f>
        <v>372</v>
      </c>
      <c r="H12" s="185">
        <f t="shared" ref="H12:H15" si="2">G12/$G$15</f>
        <v>0.16540684748777235</v>
      </c>
      <c r="I12" s="532">
        <f xml:space="preserve"> 427</f>
        <v>427</v>
      </c>
      <c r="J12" s="185">
        <f t="shared" ref="J12:J14" si="3">I12/$I$15</f>
        <v>0.1853298611111111</v>
      </c>
      <c r="K12" s="139"/>
      <c r="L12" s="139"/>
      <c r="M12" s="139"/>
    </row>
    <row r="13" spans="1:13" x14ac:dyDescent="0.25">
      <c r="B13" s="94" t="s">
        <v>162</v>
      </c>
      <c r="C13" s="532">
        <v>15</v>
      </c>
      <c r="D13" s="185">
        <f t="shared" si="0"/>
        <v>1.6411378555798686E-2</v>
      </c>
      <c r="E13" s="158">
        <v>74</v>
      </c>
      <c r="F13" s="526">
        <f t="shared" si="1"/>
        <v>3.5904900533721494E-2</v>
      </c>
      <c r="G13" s="532">
        <f>186</f>
        <v>186</v>
      </c>
      <c r="H13" s="185">
        <f t="shared" si="2"/>
        <v>8.2703423743886173E-2</v>
      </c>
      <c r="I13" s="532">
        <f>244</f>
        <v>244</v>
      </c>
      <c r="J13" s="185">
        <f t="shared" si="3"/>
        <v>0.10590277777777778</v>
      </c>
      <c r="K13" s="139"/>
      <c r="L13" s="139"/>
      <c r="M13" s="139"/>
    </row>
    <row r="14" spans="1:13" x14ac:dyDescent="0.25">
      <c r="B14" s="94" t="s">
        <v>287</v>
      </c>
      <c r="C14" s="532">
        <v>3</v>
      </c>
      <c r="D14" s="185">
        <f t="shared" si="0"/>
        <v>3.2822757111597373E-3</v>
      </c>
      <c r="E14" s="158">
        <v>34</v>
      </c>
      <c r="F14" s="526">
        <f t="shared" si="1"/>
        <v>1.6496846191169336E-2</v>
      </c>
      <c r="G14" s="532">
        <v>0</v>
      </c>
      <c r="H14" s="185">
        <f t="shared" si="2"/>
        <v>0</v>
      </c>
      <c r="I14" s="532">
        <v>0</v>
      </c>
      <c r="J14" s="185">
        <f t="shared" si="3"/>
        <v>0</v>
      </c>
      <c r="K14" s="139"/>
      <c r="L14" s="139"/>
      <c r="M14" s="139"/>
    </row>
    <row r="15" spans="1:13" x14ac:dyDescent="0.25">
      <c r="B15" s="88" t="s">
        <v>8</v>
      </c>
      <c r="C15" s="504">
        <v>914</v>
      </c>
      <c r="D15" s="186">
        <f t="shared" si="0"/>
        <v>1</v>
      </c>
      <c r="E15" s="559">
        <v>2061</v>
      </c>
      <c r="F15" s="177">
        <f t="shared" si="1"/>
        <v>1</v>
      </c>
      <c r="G15" s="190">
        <f>SUM(G10:G14)</f>
        <v>2249</v>
      </c>
      <c r="H15" s="186">
        <f t="shared" si="2"/>
        <v>1</v>
      </c>
      <c r="I15" s="190">
        <f>SUM(I10:I14)</f>
        <v>2304</v>
      </c>
      <c r="J15" s="186">
        <f>I15/$I$15</f>
        <v>1</v>
      </c>
      <c r="K15" s="139"/>
      <c r="L15" s="139"/>
      <c r="M15" s="139"/>
    </row>
    <row r="17" spans="2:14" x14ac:dyDescent="0.25">
      <c r="B17" s="114"/>
    </row>
    <row r="18" spans="2:14" x14ac:dyDescent="0.25">
      <c r="B18" s="115"/>
      <c r="C18" s="704" t="s">
        <v>404</v>
      </c>
      <c r="D18" s="705"/>
      <c r="E18" s="705"/>
      <c r="F18" s="705"/>
      <c r="G18" s="705"/>
      <c r="H18" s="705"/>
      <c r="I18" s="705"/>
      <c r="J18" s="705"/>
      <c r="K18" s="705"/>
      <c r="L18" s="705"/>
      <c r="M18" s="113"/>
      <c r="N18" s="246"/>
    </row>
    <row r="19" spans="2:14" s="135" customFormat="1" x14ac:dyDescent="0.25">
      <c r="B19" s="116"/>
      <c r="C19" s="704">
        <v>2009</v>
      </c>
      <c r="D19" s="706"/>
      <c r="E19" s="704">
        <v>2010</v>
      </c>
      <c r="F19" s="705"/>
      <c r="G19" s="704">
        <v>2011</v>
      </c>
      <c r="H19" s="706"/>
      <c r="I19" s="704">
        <v>2012</v>
      </c>
      <c r="J19" s="706"/>
      <c r="K19" s="704">
        <v>2013</v>
      </c>
      <c r="L19" s="706"/>
      <c r="M19" s="707" t="s">
        <v>447</v>
      </c>
      <c r="N19" s="708"/>
    </row>
    <row r="20" spans="2:14" ht="15.75" thickBot="1" x14ac:dyDescent="0.3">
      <c r="B20" s="117"/>
      <c r="C20" s="52" t="s">
        <v>282</v>
      </c>
      <c r="D20" s="82" t="s">
        <v>183</v>
      </c>
      <c r="E20" s="52" t="s">
        <v>282</v>
      </c>
      <c r="F20" s="52" t="s">
        <v>183</v>
      </c>
      <c r="G20" s="81" t="s">
        <v>282</v>
      </c>
      <c r="H20" s="82" t="s">
        <v>183</v>
      </c>
      <c r="I20" s="52" t="s">
        <v>282</v>
      </c>
      <c r="J20" s="52" t="s">
        <v>183</v>
      </c>
      <c r="K20" s="81" t="s">
        <v>282</v>
      </c>
      <c r="L20" s="82" t="s">
        <v>183</v>
      </c>
      <c r="M20" s="183" t="s">
        <v>282</v>
      </c>
      <c r="N20" s="184" t="s">
        <v>183</v>
      </c>
    </row>
    <row r="21" spans="2:14" ht="15.75" thickTop="1" x14ac:dyDescent="0.25">
      <c r="B21" s="94" t="s">
        <v>159</v>
      </c>
      <c r="C21" s="558">
        <v>196</v>
      </c>
      <c r="D21" s="199">
        <f>+C21/C26</f>
        <v>0.65771812080536918</v>
      </c>
      <c r="E21" s="161">
        <v>208</v>
      </c>
      <c r="F21" s="169">
        <f>+E21/E26</f>
        <v>0.65408805031446537</v>
      </c>
      <c r="G21" s="558">
        <v>261</v>
      </c>
      <c r="H21" s="199">
        <f>+G21/G26</f>
        <v>0.56862745098039214</v>
      </c>
      <c r="I21" s="558">
        <v>290</v>
      </c>
      <c r="J21" s="199">
        <f>+I21/I26</f>
        <v>0.56862745098039214</v>
      </c>
      <c r="K21" s="558">
        <f xml:space="preserve"> 338</f>
        <v>338</v>
      </c>
      <c r="L21" s="199">
        <f>+K21/$K$26</f>
        <v>0.55500821018062396</v>
      </c>
      <c r="M21" s="558">
        <f>343</f>
        <v>343</v>
      </c>
      <c r="N21" s="199">
        <f>+M21/M$26</f>
        <v>0.52850539291217258</v>
      </c>
    </row>
    <row r="22" spans="2:14" x14ac:dyDescent="0.25">
      <c r="B22" s="94" t="s">
        <v>160</v>
      </c>
      <c r="C22" s="532">
        <v>61</v>
      </c>
      <c r="D22" s="185">
        <f>+C22/C26</f>
        <v>0.20469798657718122</v>
      </c>
      <c r="E22" s="158">
        <v>60</v>
      </c>
      <c r="F22" s="526">
        <f>+E22/E26</f>
        <v>0.18867924528301888</v>
      </c>
      <c r="G22" s="532">
        <v>85</v>
      </c>
      <c r="H22" s="185">
        <f>+G22/G26</f>
        <v>0.18518518518518517</v>
      </c>
      <c r="I22" s="532">
        <v>92</v>
      </c>
      <c r="J22" s="185">
        <f>+I22/I26</f>
        <v>0.1803921568627451</v>
      </c>
      <c r="K22" s="532">
        <f>91</f>
        <v>91</v>
      </c>
      <c r="L22" s="185">
        <f>+K22/$K$26</f>
        <v>0.14942528735632185</v>
      </c>
      <c r="M22" s="532">
        <f xml:space="preserve"> 84</f>
        <v>84</v>
      </c>
      <c r="N22" s="185">
        <f t="shared" ref="N22:N26" si="4">+M22/M$26</f>
        <v>0.12942989214175654</v>
      </c>
    </row>
    <row r="23" spans="2:14" x14ac:dyDescent="0.25">
      <c r="B23" s="94" t="s">
        <v>161</v>
      </c>
      <c r="C23" s="532">
        <v>32</v>
      </c>
      <c r="D23" s="185">
        <f>+C23/C26</f>
        <v>0.10738255033557047</v>
      </c>
      <c r="E23" s="158">
        <v>41</v>
      </c>
      <c r="F23" s="526">
        <f>+E23/E26</f>
        <v>0.12893081761006289</v>
      </c>
      <c r="G23" s="532">
        <v>85</v>
      </c>
      <c r="H23" s="185">
        <f>+G23/G26</f>
        <v>0.18518518518518517</v>
      </c>
      <c r="I23" s="532">
        <v>95</v>
      </c>
      <c r="J23" s="185">
        <f>+I23/I26</f>
        <v>0.18627450980392157</v>
      </c>
      <c r="K23" s="532">
        <f>102</f>
        <v>102</v>
      </c>
      <c r="L23" s="185">
        <f>+K23/$K$26</f>
        <v>0.16748768472906403</v>
      </c>
      <c r="M23" s="532">
        <f xml:space="preserve"> 125</f>
        <v>125</v>
      </c>
      <c r="N23" s="185">
        <f t="shared" si="4"/>
        <v>0.19260400616332821</v>
      </c>
    </row>
    <row r="24" spans="2:14" x14ac:dyDescent="0.25">
      <c r="B24" s="94" t="s">
        <v>162</v>
      </c>
      <c r="C24" s="532">
        <v>6</v>
      </c>
      <c r="D24" s="185">
        <f>+C24/C26</f>
        <v>2.0134228187919462E-2</v>
      </c>
      <c r="E24" s="158">
        <v>6</v>
      </c>
      <c r="F24" s="526">
        <f>+E24/E26</f>
        <v>1.8867924528301886E-2</v>
      </c>
      <c r="G24" s="532">
        <v>20</v>
      </c>
      <c r="H24" s="185">
        <f>+G24/G26</f>
        <v>4.357298474945534E-2</v>
      </c>
      <c r="I24" s="532">
        <v>22</v>
      </c>
      <c r="J24" s="185">
        <f>+I24/I26</f>
        <v>4.3137254901960784E-2</v>
      </c>
      <c r="K24" s="532">
        <f xml:space="preserve"> 78</f>
        <v>78</v>
      </c>
      <c r="L24" s="185">
        <f>+K24/$K$26</f>
        <v>0.12807881773399016</v>
      </c>
      <c r="M24" s="532">
        <f>97</f>
        <v>97</v>
      </c>
      <c r="N24" s="185">
        <f t="shared" si="4"/>
        <v>0.14946070878274267</v>
      </c>
    </row>
    <row r="25" spans="2:14" s="118" customFormat="1" x14ac:dyDescent="0.25">
      <c r="B25" s="94" t="s">
        <v>287</v>
      </c>
      <c r="C25" s="532">
        <v>3</v>
      </c>
      <c r="D25" s="185">
        <f>+C25/C26</f>
        <v>1.0067114093959731E-2</v>
      </c>
      <c r="E25" s="158">
        <v>3</v>
      </c>
      <c r="F25" s="526">
        <f>+E25/E26</f>
        <v>9.433962264150943E-3</v>
      </c>
      <c r="G25" s="532">
        <v>8</v>
      </c>
      <c r="H25" s="185">
        <f>+G25/G26</f>
        <v>1.7429193899782137E-2</v>
      </c>
      <c r="I25" s="532">
        <v>11</v>
      </c>
      <c r="J25" s="185">
        <f>+I25/I26</f>
        <v>2.1568627450980392E-2</v>
      </c>
      <c r="K25" s="532">
        <v>0</v>
      </c>
      <c r="L25" s="185">
        <f>+K25/$K$26</f>
        <v>0</v>
      </c>
      <c r="M25" s="532">
        <v>0</v>
      </c>
      <c r="N25" s="185">
        <f t="shared" si="4"/>
        <v>0</v>
      </c>
    </row>
    <row r="26" spans="2:14" x14ac:dyDescent="0.25">
      <c r="B26" s="88" t="s">
        <v>8</v>
      </c>
      <c r="C26" s="504">
        <f t="shared" ref="C26:L26" si="5">+SUM(C21:C25)</f>
        <v>298</v>
      </c>
      <c r="D26" s="186">
        <f t="shared" si="5"/>
        <v>1</v>
      </c>
      <c r="E26" s="504">
        <f t="shared" si="5"/>
        <v>318</v>
      </c>
      <c r="F26" s="177">
        <f t="shared" si="5"/>
        <v>1</v>
      </c>
      <c r="G26" s="504">
        <f t="shared" si="5"/>
        <v>459</v>
      </c>
      <c r="H26" s="186">
        <f t="shared" si="5"/>
        <v>0.99999999999999989</v>
      </c>
      <c r="I26" s="504">
        <f t="shared" si="5"/>
        <v>510</v>
      </c>
      <c r="J26" s="186">
        <f t="shared" si="5"/>
        <v>1</v>
      </c>
      <c r="K26" s="504">
        <f t="shared" si="5"/>
        <v>609</v>
      </c>
      <c r="L26" s="186">
        <f t="shared" si="5"/>
        <v>1</v>
      </c>
      <c r="M26" s="504">
        <f t="shared" ref="M26" si="6">+SUM(M21:M25)</f>
        <v>649</v>
      </c>
      <c r="N26" s="186">
        <f t="shared" si="4"/>
        <v>1</v>
      </c>
    </row>
    <row r="27" spans="2:14" x14ac:dyDescent="0.25">
      <c r="M27" s="85"/>
      <c r="N27" s="85"/>
    </row>
    <row r="29" spans="2:14" x14ac:dyDescent="0.25">
      <c r="C29" s="139"/>
      <c r="D29" s="139"/>
    </row>
    <row r="30" spans="2:14" x14ac:dyDescent="0.25">
      <c r="B30" s="658" t="s">
        <v>570</v>
      </c>
      <c r="C30" s="644"/>
      <c r="D30" s="644"/>
      <c r="E30" s="644"/>
      <c r="F30" s="644"/>
      <c r="G30" s="644"/>
      <c r="H30" s="644"/>
      <c r="I30" s="644"/>
      <c r="J30" s="644"/>
      <c r="K30" s="644"/>
      <c r="L30" s="644"/>
      <c r="M30" s="113"/>
      <c r="N30" s="246"/>
    </row>
    <row r="31" spans="2:14" x14ac:dyDescent="0.25">
      <c r="B31" s="143"/>
      <c r="C31" s="660">
        <v>2009</v>
      </c>
      <c r="D31" s="671"/>
      <c r="E31" s="660">
        <v>2010</v>
      </c>
      <c r="F31" s="671"/>
      <c r="G31" s="660">
        <v>2011</v>
      </c>
      <c r="H31" s="671"/>
      <c r="I31" s="660">
        <v>2012</v>
      </c>
      <c r="J31" s="671"/>
      <c r="K31" s="660">
        <v>2013</v>
      </c>
      <c r="L31" s="671"/>
      <c r="M31" s="709" t="s">
        <v>447</v>
      </c>
      <c r="N31" s="710"/>
    </row>
    <row r="32" spans="2:14" ht="15.75" thickBot="1" x14ac:dyDescent="0.3">
      <c r="B32" s="93"/>
      <c r="C32" s="81" t="s">
        <v>8</v>
      </c>
      <c r="D32" s="82" t="s">
        <v>379</v>
      </c>
      <c r="E32" s="81" t="s">
        <v>8</v>
      </c>
      <c r="F32" s="82" t="s">
        <v>379</v>
      </c>
      <c r="G32" s="81" t="s">
        <v>8</v>
      </c>
      <c r="H32" s="82" t="s">
        <v>379</v>
      </c>
      <c r="I32" s="81" t="s">
        <v>8</v>
      </c>
      <c r="J32" s="82" t="s">
        <v>379</v>
      </c>
      <c r="K32" s="81" t="s">
        <v>8</v>
      </c>
      <c r="L32" s="82" t="s">
        <v>379</v>
      </c>
      <c r="M32" s="183" t="s">
        <v>8</v>
      </c>
      <c r="N32" s="184" t="s">
        <v>379</v>
      </c>
    </row>
    <row r="33" spans="2:14" ht="15.75" thickTop="1" x14ac:dyDescent="0.25">
      <c r="B33" s="94" t="s">
        <v>159</v>
      </c>
      <c r="C33" s="189">
        <f>86346.0299732382*'ANEXO 1'!E6</f>
        <v>101592.14848561285</v>
      </c>
      <c r="D33" s="141">
        <f>C33/C21</f>
        <v>518.32728819190231</v>
      </c>
      <c r="E33" s="189">
        <f>94461.8096980787*'ANEXO 1'!F6</f>
        <v>107932.06376102472</v>
      </c>
      <c r="F33" s="141">
        <f>E33/E21</f>
        <v>518.90415269723428</v>
      </c>
      <c r="G33" s="189">
        <f>123845.300380228*'ANEXO 1'!G6</f>
        <v>135492.95088098844</v>
      </c>
      <c r="H33" s="141">
        <f>G33/G21</f>
        <v>519.13008000378716</v>
      </c>
      <c r="I33" s="189">
        <f>138685.9*'ANEXO 1'!H6</f>
        <v>149507.56077700001</v>
      </c>
      <c r="J33" s="141">
        <f>I33/I21</f>
        <v>515.543313024138</v>
      </c>
      <c r="K33" s="189">
        <f>159159.089*'ANEXO 1'!I6</f>
        <v>166555.21186583</v>
      </c>
      <c r="L33" s="141">
        <f>K33/K21</f>
        <v>492.76689901133136</v>
      </c>
      <c r="M33" s="189">
        <f xml:space="preserve"> 154697832/1000</f>
        <v>154697.83199999999</v>
      </c>
      <c r="N33" s="141">
        <f>M33/M21</f>
        <v>451.01408746355685</v>
      </c>
    </row>
    <row r="34" spans="2:14" x14ac:dyDescent="0.25">
      <c r="B34" s="94" t="s">
        <v>160</v>
      </c>
      <c r="C34" s="189">
        <f>9417.97002676182*'ANEXO 1'!E6</f>
        <v>11080.900994387153</v>
      </c>
      <c r="D34" s="141">
        <f t="shared" ref="D34:D37" si="7">C34/C22</f>
        <v>181.65411466208448</v>
      </c>
      <c r="E34" s="189">
        <f>9605.5559926807*'ANEXO 1'!F6</f>
        <v>10975.308277236969</v>
      </c>
      <c r="F34" s="141">
        <f t="shared" ref="F34:F37" si="8">E34/E22</f>
        <v>182.92180462061614</v>
      </c>
      <c r="G34" s="189">
        <f>11671.4900190114*'ANEXO 1'!G6</f>
        <v>12769.193655299423</v>
      </c>
      <c r="H34" s="141">
        <f t="shared" ref="H34:H37" si="9">G34/G22</f>
        <v>150.22580770940499</v>
      </c>
      <c r="I34" s="189">
        <f>12815.79*'ANEXO 1'!H6</f>
        <v>13815.806093700001</v>
      </c>
      <c r="J34" s="141">
        <f t="shared" ref="J34:J37" si="10">I34/I22</f>
        <v>150.17180536630437</v>
      </c>
      <c r="K34" s="189">
        <f>12583.299*'ANEXO 1'!I6</f>
        <v>13168.044904530001</v>
      </c>
      <c r="L34" s="141">
        <f>K34/K22</f>
        <v>144.70379015967035</v>
      </c>
      <c r="M34" s="189">
        <f>11646029/1000</f>
        <v>11646.029</v>
      </c>
      <c r="N34" s="141">
        <f>M34/M22</f>
        <v>138.64320238095237</v>
      </c>
    </row>
    <row r="35" spans="2:14" x14ac:dyDescent="0.25">
      <c r="B35" s="94" t="s">
        <v>161</v>
      </c>
      <c r="C35" s="189">
        <f>2361.69399643176*'ANEXO 1'!E6</f>
        <v>2778.6983053817153</v>
      </c>
      <c r="D35" s="141">
        <f t="shared" si="7"/>
        <v>86.834322043178602</v>
      </c>
      <c r="E35" s="189">
        <f>2956.84799634035*'ANEXO 1'!F6</f>
        <v>3378.4945206184843</v>
      </c>
      <c r="F35" s="141">
        <f t="shared" si="8"/>
        <v>82.402305380938643</v>
      </c>
      <c r="G35" s="189">
        <f>8353.19900190114*'ANEXO 1'!G6</f>
        <v>9138.8173680299406</v>
      </c>
      <c r="H35" s="141">
        <f t="shared" si="9"/>
        <v>107.51549844741106</v>
      </c>
      <c r="I35" s="189">
        <f>7131.176*'ANEXO 1'!H6</f>
        <v>7687.6216632800006</v>
      </c>
      <c r="J35" s="141">
        <f t="shared" si="10"/>
        <v>80.922333297684219</v>
      </c>
      <c r="K35" s="189">
        <f>7643.882*'ANEXO 1'!I6</f>
        <v>7999.0931965399996</v>
      </c>
      <c r="L35" s="141">
        <f>K35/K23</f>
        <v>78.422482319019608</v>
      </c>
      <c r="M35" s="189">
        <f>10797423/1000</f>
        <v>10797.423000000001</v>
      </c>
      <c r="N35" s="141">
        <f t="shared" ref="N35:N36" si="11">M35/M23</f>
        <v>86.379384000000002</v>
      </c>
    </row>
    <row r="36" spans="2:14" x14ac:dyDescent="0.25">
      <c r="B36" s="94" t="s">
        <v>162</v>
      </c>
      <c r="C36" s="189">
        <f>1340.61*'ANEXO 1'!E6</f>
        <v>1577.3215076999998</v>
      </c>
      <c r="D36" s="141">
        <f t="shared" si="7"/>
        <v>262.88691794999994</v>
      </c>
      <c r="E36" s="189">
        <f>1533.50500457457*'ANEXO 1'!F6</f>
        <v>1752.1828182269037</v>
      </c>
      <c r="F36" s="141">
        <f t="shared" si="8"/>
        <v>292.03046970448395</v>
      </c>
      <c r="G36" s="189">
        <f>518.908*'ANEXO 1'!G6</f>
        <v>567.71129740000003</v>
      </c>
      <c r="H36" s="141">
        <f t="shared" si="9"/>
        <v>28.385564870000003</v>
      </c>
      <c r="I36" s="189">
        <f>834.44*'ANEXO 1'!H6</f>
        <v>899.55135320000011</v>
      </c>
      <c r="J36" s="141">
        <f t="shared" si="10"/>
        <v>40.888697872727278</v>
      </c>
      <c r="K36" s="189">
        <f>8188.237*'ANEXO 1'!I6</f>
        <v>8568.74437339</v>
      </c>
      <c r="L36" s="141">
        <f>K36/K24</f>
        <v>109.85569709474359</v>
      </c>
      <c r="M36" s="189">
        <f>9803907/1000</f>
        <v>9803.9069999999992</v>
      </c>
      <c r="N36" s="141">
        <f t="shared" si="11"/>
        <v>101.07120618556701</v>
      </c>
    </row>
    <row r="37" spans="2:14" x14ac:dyDescent="0.25">
      <c r="B37" s="94" t="s">
        <v>287</v>
      </c>
      <c r="C37" s="189">
        <f>335.384*'ANEXO 1'!E6</f>
        <v>394.60275287999997</v>
      </c>
      <c r="D37" s="141">
        <f t="shared" si="7"/>
        <v>131.53425095999998</v>
      </c>
      <c r="E37" s="189">
        <f>263.742*'ANEXO 1'!F6</f>
        <v>301.35160920000004</v>
      </c>
      <c r="F37" s="141">
        <f t="shared" si="8"/>
        <v>100.45053640000002</v>
      </c>
      <c r="G37" s="189">
        <f>1587.275*'ANEXO 1'!G6</f>
        <v>1736.55821375</v>
      </c>
      <c r="H37" s="141">
        <f t="shared" si="9"/>
        <v>217.06977671875001</v>
      </c>
      <c r="I37" s="189">
        <f>2578.49*'ANEXO 1'!H6</f>
        <v>2779.6895746999999</v>
      </c>
      <c r="J37" s="141">
        <f t="shared" si="10"/>
        <v>252.69905224545454</v>
      </c>
      <c r="K37" s="189">
        <v>0</v>
      </c>
      <c r="L37" s="141" t="s">
        <v>128</v>
      </c>
      <c r="M37" s="189">
        <v>0</v>
      </c>
      <c r="N37" s="141" t="s">
        <v>128</v>
      </c>
    </row>
    <row r="38" spans="2:14" x14ac:dyDescent="0.25">
      <c r="B38" s="88" t="s">
        <v>8</v>
      </c>
      <c r="C38" s="190">
        <f>SUM(C33:C37)</f>
        <v>117423.67204596172</v>
      </c>
      <c r="D38" s="501" t="s">
        <v>128</v>
      </c>
      <c r="E38" s="190">
        <f>SUM(E33:E37)</f>
        <v>124339.40098630708</v>
      </c>
      <c r="F38" s="501" t="s">
        <v>128</v>
      </c>
      <c r="G38" s="190">
        <f t="shared" ref="G38" si="12">SUM(G33:G37)</f>
        <v>159705.2314154678</v>
      </c>
      <c r="H38" s="501" t="s">
        <v>128</v>
      </c>
      <c r="I38" s="190">
        <f t="shared" ref="I38" si="13">SUM(I33:I37)</f>
        <v>174690.22946187999</v>
      </c>
      <c r="J38" s="501" t="s">
        <v>128</v>
      </c>
      <c r="K38" s="190">
        <f>SUM(K33:K37)</f>
        <v>196291.09434029</v>
      </c>
      <c r="L38" s="501" t="s">
        <v>128</v>
      </c>
      <c r="M38" s="190">
        <f>SUM(M33:M37)</f>
        <v>186945.19100000002</v>
      </c>
      <c r="N38" s="501" t="s">
        <v>128</v>
      </c>
    </row>
    <row r="41" spans="2:14" x14ac:dyDescent="0.25">
      <c r="G41" s="151"/>
      <c r="H41" s="151"/>
      <c r="I41" s="151"/>
      <c r="J41" s="151"/>
      <c r="K41" s="151"/>
    </row>
    <row r="42" spans="2:14" x14ac:dyDescent="0.25">
      <c r="G42" s="151"/>
      <c r="H42" s="151"/>
      <c r="I42" s="151"/>
      <c r="J42" s="151"/>
      <c r="K42" s="151"/>
    </row>
    <row r="43" spans="2:14" x14ac:dyDescent="0.25">
      <c r="G43" s="151"/>
      <c r="H43" s="151"/>
      <c r="I43" s="151"/>
      <c r="J43" s="151"/>
      <c r="K43" s="151"/>
    </row>
    <row r="44" spans="2:14" x14ac:dyDescent="0.25">
      <c r="G44" s="151"/>
      <c r="H44" s="151"/>
      <c r="I44" s="151"/>
      <c r="J44" s="151"/>
      <c r="K44" s="151"/>
    </row>
    <row r="45" spans="2:14" x14ac:dyDescent="0.25">
      <c r="G45" s="151"/>
      <c r="H45" s="151"/>
      <c r="I45" s="151"/>
      <c r="J45" s="151"/>
      <c r="K45" s="151"/>
    </row>
    <row r="46" spans="2:14" x14ac:dyDescent="0.25">
      <c r="G46" s="151"/>
      <c r="H46" s="151"/>
      <c r="I46" s="151"/>
      <c r="J46" s="151"/>
      <c r="K46" s="151"/>
    </row>
    <row r="47" spans="2:14" ht="15" customHeight="1" x14ac:dyDescent="0.25">
      <c r="G47" s="151"/>
      <c r="H47" s="151"/>
      <c r="I47" s="151"/>
      <c r="J47" s="151"/>
      <c r="K47" s="151"/>
    </row>
  </sheetData>
  <sheetProtection password="C69F" sheet="1" objects="1" scenarios="1"/>
  <mergeCells count="19">
    <mergeCell ref="M19:N19"/>
    <mergeCell ref="M31:N31"/>
    <mergeCell ref="G31:H31"/>
    <mergeCell ref="I31:J31"/>
    <mergeCell ref="K31:L31"/>
    <mergeCell ref="C31:D31"/>
    <mergeCell ref="E31:F31"/>
    <mergeCell ref="C7:H7"/>
    <mergeCell ref="C8:D8"/>
    <mergeCell ref="E8:F8"/>
    <mergeCell ref="G8:H8"/>
    <mergeCell ref="B30:L30"/>
    <mergeCell ref="G19:H19"/>
    <mergeCell ref="I19:J19"/>
    <mergeCell ref="K19:L19"/>
    <mergeCell ref="C19:D19"/>
    <mergeCell ref="E19:F19"/>
    <mergeCell ref="C18:L18"/>
    <mergeCell ref="I8:J8"/>
  </mergeCells>
  <hyperlinks>
    <hyperlink ref="A1" location="ÍNDICE!A1" display="ÍNDICE"/>
  </hyperlinks>
  <pageMargins left="0.7" right="0.7" top="0.75" bottom="0.75" header="0.3" footer="0.3"/>
  <pageSetup orientation="portrait" r:id="rId1"/>
  <ignoredErrors>
    <ignoredError sqref="E33:E35 E36:E37 G33:G37 I33:I37 K33:K34 M33:M36 K36"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42"/>
  <sheetViews>
    <sheetView zoomScale="90" zoomScaleNormal="90" workbookViewId="0"/>
  </sheetViews>
  <sheetFormatPr baseColWidth="10" defaultRowHeight="15" x14ac:dyDescent="0.25"/>
  <cols>
    <col min="2" max="2" width="13.5703125" customWidth="1"/>
    <col min="3" max="3" width="46.140625" bestFit="1" customWidth="1"/>
    <col min="4" max="10" width="14" customWidth="1"/>
    <col min="11" max="11" width="14" style="204" customWidth="1"/>
    <col min="14" max="14" width="21.7109375" customWidth="1"/>
    <col min="15" max="15" width="20.7109375" bestFit="1" customWidth="1"/>
    <col min="16" max="16" width="26.7109375" customWidth="1"/>
    <col min="19" max="19" width="12.85546875" bestFit="1" customWidth="1"/>
  </cols>
  <sheetData>
    <row r="1" spans="1:15" x14ac:dyDescent="0.25">
      <c r="A1" s="59" t="s">
        <v>132</v>
      </c>
      <c r="M1" s="72"/>
      <c r="N1" s="72"/>
      <c r="O1" s="72"/>
    </row>
    <row r="2" spans="1:15" x14ac:dyDescent="0.25">
      <c r="A2" s="1" t="s">
        <v>268</v>
      </c>
      <c r="B2" s="1"/>
      <c r="C2" s="1"/>
    </row>
    <row r="3" spans="1:15" s="64" customFormat="1" x14ac:dyDescent="0.25">
      <c r="A3" s="1"/>
      <c r="B3" s="1"/>
      <c r="C3" s="1"/>
      <c r="K3" s="204"/>
    </row>
    <row r="4" spans="1:15" x14ac:dyDescent="0.25">
      <c r="E4" s="236"/>
      <c r="F4" s="237"/>
    </row>
    <row r="5" spans="1:15" ht="21.75" customHeight="1" x14ac:dyDescent="0.25">
      <c r="C5" s="644" t="s">
        <v>229</v>
      </c>
      <c r="D5" s="644"/>
      <c r="E5" s="644"/>
      <c r="F5" s="644"/>
      <c r="G5" s="644"/>
      <c r="H5" s="644"/>
      <c r="I5" s="644"/>
      <c r="J5" s="644"/>
      <c r="K5" s="566"/>
    </row>
    <row r="6" spans="1:15" ht="24" customHeight="1" thickBot="1" x14ac:dyDescent="0.3">
      <c r="C6" s="2"/>
      <c r="D6" s="4">
        <v>2007</v>
      </c>
      <c r="E6" s="4">
        <v>2008</v>
      </c>
      <c r="F6" s="4">
        <v>2009</v>
      </c>
      <c r="G6" s="4">
        <v>2010</v>
      </c>
      <c r="H6" s="4">
        <v>2011</v>
      </c>
      <c r="I6" s="4">
        <v>2012</v>
      </c>
      <c r="J6" s="4">
        <v>2013</v>
      </c>
      <c r="K6" s="4" t="s">
        <v>447</v>
      </c>
    </row>
    <row r="7" spans="1:15" ht="15.75" thickTop="1" x14ac:dyDescent="0.25">
      <c r="C7" s="506" t="s">
        <v>224</v>
      </c>
      <c r="D7" s="162">
        <v>90428771</v>
      </c>
      <c r="E7" s="162">
        <v>93847932.008135706</v>
      </c>
      <c r="F7" s="162">
        <v>96443760.984039396</v>
      </c>
      <c r="G7" s="162">
        <v>110998728.917933</v>
      </c>
      <c r="H7" s="162">
        <v>121319461.768628</v>
      </c>
      <c r="I7" s="162">
        <v>129027552.548843</v>
      </c>
      <c r="J7" s="162">
        <v>137028983.39242801</v>
      </c>
      <c r="K7" s="162">
        <v>147184925.06759101</v>
      </c>
    </row>
    <row r="8" spans="1:15" x14ac:dyDescent="0.25">
      <c r="C8" s="506" t="s">
        <v>225</v>
      </c>
      <c r="D8" s="158"/>
      <c r="E8" s="507">
        <f t="shared" ref="E8:I8" si="0">E7/D7-1</f>
        <v>3.7810543816145792E-2</v>
      </c>
      <c r="F8" s="507">
        <f t="shared" si="0"/>
        <v>2.7659948603647955E-2</v>
      </c>
      <c r="G8" s="507">
        <f t="shared" si="0"/>
        <v>0.15091663561629787</v>
      </c>
      <c r="H8" s="507">
        <f t="shared" si="0"/>
        <v>9.2980639970441814E-2</v>
      </c>
      <c r="I8" s="507">
        <f t="shared" si="0"/>
        <v>6.3535484479112947E-2</v>
      </c>
      <c r="J8" s="507">
        <f>J7/I7-1</f>
        <v>6.201335052492829E-2</v>
      </c>
      <c r="K8" s="507">
        <f>K7/J7-1</f>
        <v>7.4115281480838791E-2</v>
      </c>
    </row>
    <row r="9" spans="1:15" x14ac:dyDescent="0.25">
      <c r="C9" s="506" t="s">
        <v>228</v>
      </c>
      <c r="D9" s="162">
        <v>90856521.590000004</v>
      </c>
      <c r="E9" s="162">
        <v>93847932.008135706</v>
      </c>
      <c r="F9" s="162">
        <v>92875262.216998205</v>
      </c>
      <c r="G9" s="162">
        <v>98219034.448024005</v>
      </c>
      <c r="H9" s="162">
        <v>103954673.045412</v>
      </c>
      <c r="I9" s="162">
        <v>109627615.336468</v>
      </c>
      <c r="J9" s="162">
        <v>114260687.337698</v>
      </c>
      <c r="K9" s="162">
        <v>116424840.770796</v>
      </c>
    </row>
    <row r="10" spans="1:15" x14ac:dyDescent="0.25">
      <c r="C10" s="506" t="s">
        <v>231</v>
      </c>
      <c r="D10" s="158"/>
      <c r="E10" s="507">
        <f>E9/D9-1</f>
        <v>3.2924553634517961E-2</v>
      </c>
      <c r="F10" s="507">
        <f t="shared" ref="F10:I10" si="1">F9/E9-1</f>
        <v>-1.0364317788624011E-2</v>
      </c>
      <c r="G10" s="507">
        <f t="shared" si="1"/>
        <v>5.7537089031741928E-2</v>
      </c>
      <c r="H10" s="507">
        <f t="shared" si="1"/>
        <v>5.8396405845581922E-2</v>
      </c>
      <c r="I10" s="507">
        <f t="shared" si="1"/>
        <v>5.4571306174738377E-2</v>
      </c>
      <c r="J10" s="507">
        <f>J9/I9-1</f>
        <v>4.2261906245157466E-2</v>
      </c>
      <c r="K10" s="507">
        <f>K9/J9-1</f>
        <v>1.8940490237922658E-2</v>
      </c>
    </row>
    <row r="11" spans="1:15" x14ac:dyDescent="0.25">
      <c r="C11" s="506" t="s">
        <v>479</v>
      </c>
      <c r="D11" s="162">
        <v>280784.783</v>
      </c>
      <c r="E11" s="162">
        <v>351922.76899999997</v>
      </c>
      <c r="F11" s="162">
        <v>340356.52299999999</v>
      </c>
      <c r="G11" s="162">
        <v>367392.87800000003</v>
      </c>
      <c r="H11" s="162">
        <v>428780.71536500001</v>
      </c>
      <c r="I11" s="162">
        <v>470675.38553100004</v>
      </c>
      <c r="J11" s="162">
        <v>535924.38399999996</v>
      </c>
      <c r="K11" s="162">
        <v>558239.59600000002</v>
      </c>
    </row>
    <row r="12" spans="1:15" x14ac:dyDescent="0.25">
      <c r="C12" s="508" t="s">
        <v>226</v>
      </c>
      <c r="D12" s="509"/>
      <c r="E12" s="510">
        <v>0.25335413564772835</v>
      </c>
      <c r="F12" s="510">
        <v>-3.2865864385148623E-2</v>
      </c>
      <c r="G12" s="510">
        <v>7.9435395454430707E-2</v>
      </c>
      <c r="H12" s="510">
        <v>0.16709043925723563</v>
      </c>
      <c r="I12" s="510">
        <v>9.7706516792242265E-2</v>
      </c>
      <c r="J12" s="510">
        <f>J11/I11-1</f>
        <v>0.13862844855459833</v>
      </c>
      <c r="K12" s="510">
        <f>K11/J11-1</f>
        <v>4.1638732377588639E-2</v>
      </c>
    </row>
    <row r="13" spans="1:15" x14ac:dyDescent="0.25">
      <c r="C13" s="511"/>
      <c r="D13" s="68"/>
      <c r="E13" s="68"/>
      <c r="F13" s="68"/>
      <c r="G13" s="68"/>
      <c r="H13" s="68"/>
      <c r="I13" s="68"/>
      <c r="J13" s="68"/>
      <c r="K13" s="68"/>
    </row>
    <row r="14" spans="1:15" x14ac:dyDescent="0.25">
      <c r="C14" s="506" t="s">
        <v>230</v>
      </c>
      <c r="D14" s="512">
        <v>3.1050381410137702E-3</v>
      </c>
      <c r="E14" s="512">
        <v>3.7499256665826232E-3</v>
      </c>
      <c r="F14" s="512">
        <v>3.5290672983043598E-3</v>
      </c>
      <c r="G14" s="512">
        <v>3.3096106163124301E-3</v>
      </c>
      <c r="H14" s="512">
        <v>3.529271527181676E-3</v>
      </c>
      <c r="I14" s="512">
        <v>3.6059648087571282E-3</v>
      </c>
      <c r="J14" s="512">
        <f>J11/J7</f>
        <v>3.9110294094877908E-3</v>
      </c>
      <c r="K14" s="512">
        <f>K11/K7</f>
        <v>3.7927769827218539E-3</v>
      </c>
    </row>
    <row r="15" spans="1:15" x14ac:dyDescent="0.25">
      <c r="C15" s="508"/>
      <c r="D15" s="509"/>
      <c r="E15" s="509"/>
      <c r="F15" s="509"/>
      <c r="G15" s="509"/>
      <c r="H15" s="509"/>
      <c r="I15" s="509"/>
      <c r="J15" s="509"/>
      <c r="K15" s="509"/>
    </row>
    <row r="16" spans="1:15" x14ac:dyDescent="0.25">
      <c r="C16" s="511" t="s">
        <v>594</v>
      </c>
      <c r="D16" s="513">
        <f>D11*'ANEXO 1'!C6</f>
        <v>348911.59489928995</v>
      </c>
      <c r="E16" s="513">
        <f>E11*'ANEXO 1'!D6</f>
        <v>408346.54655377002</v>
      </c>
      <c r="F16" s="513">
        <f>F11*'ANEXO 1'!E6</f>
        <v>400453.27426610998</v>
      </c>
      <c r="G16" s="513">
        <f>G11*'ANEXO 1'!F6</f>
        <v>419783.10240280005</v>
      </c>
      <c r="H16" s="513">
        <f>H11*'ANEXO 1'!G6</f>
        <v>469107.54164507822</v>
      </c>
      <c r="I16" s="513">
        <f>I11*'ANEXO 1'!H6</f>
        <v>507402.18586398399</v>
      </c>
      <c r="J16" s="513">
        <f>J11*'ANEXO 1'!I6</f>
        <v>560828.79012447991</v>
      </c>
      <c r="K16" s="513">
        <v>558239.59600000002</v>
      </c>
    </row>
    <row r="17" spans="3:11" x14ac:dyDescent="0.25">
      <c r="C17" s="508" t="s">
        <v>227</v>
      </c>
      <c r="D17" s="32"/>
      <c r="E17" s="514">
        <f>E16/D16-1</f>
        <v>0.17034387083534841</v>
      </c>
      <c r="F17" s="514">
        <f>F16/E16-1</f>
        <v>-1.9329837252880178E-2</v>
      </c>
      <c r="G17" s="514">
        <f t="shared" ref="G17:J17" si="2">G16/F16-1</f>
        <v>4.8269871615146176E-2</v>
      </c>
      <c r="H17" s="514">
        <f t="shared" si="2"/>
        <v>0.11749982064535125</v>
      </c>
      <c r="I17" s="514">
        <f t="shared" si="2"/>
        <v>8.1632974998895103E-2</v>
      </c>
      <c r="J17" s="514">
        <f t="shared" si="2"/>
        <v>0.10529439121261031</v>
      </c>
      <c r="K17" s="514">
        <f>K16/J16-1</f>
        <v>-4.6167282601615733E-3</v>
      </c>
    </row>
    <row r="18" spans="3:11" x14ac:dyDescent="0.25">
      <c r="K18"/>
    </row>
    <row r="19" spans="3:11" x14ac:dyDescent="0.25">
      <c r="K19"/>
    </row>
    <row r="21" spans="3:11" ht="15" customHeight="1" x14ac:dyDescent="0.25"/>
    <row r="39" spans="2:5" ht="15" customHeight="1" x14ac:dyDescent="0.25">
      <c r="B39" s="645" t="s">
        <v>446</v>
      </c>
      <c r="C39" s="645"/>
      <c r="D39" s="645"/>
      <c r="E39" s="645"/>
    </row>
    <row r="40" spans="2:5" x14ac:dyDescent="0.25">
      <c r="B40" s="645"/>
      <c r="C40" s="645"/>
      <c r="D40" s="645"/>
      <c r="E40" s="645"/>
    </row>
    <row r="41" spans="2:5" x14ac:dyDescent="0.25">
      <c r="B41" s="625" t="s">
        <v>434</v>
      </c>
      <c r="C41" s="625"/>
      <c r="D41" s="625"/>
      <c r="E41" s="625"/>
    </row>
    <row r="42" spans="2:5" x14ac:dyDescent="0.25">
      <c r="B42" s="226"/>
      <c r="C42" s="226"/>
      <c r="D42" s="226"/>
      <c r="E42" s="226"/>
    </row>
  </sheetData>
  <sheetProtection password="C69F" sheet="1" objects="1" scenarios="1"/>
  <mergeCells count="2">
    <mergeCell ref="C5:J5"/>
    <mergeCell ref="B39:E40"/>
  </mergeCells>
  <hyperlinks>
    <hyperlink ref="A1" location="ÍNDICE!A1" display="ÍNDICE"/>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U47"/>
  <sheetViews>
    <sheetView zoomScale="90" zoomScaleNormal="90" workbookViewId="0"/>
  </sheetViews>
  <sheetFormatPr baseColWidth="10" defaultRowHeight="15" x14ac:dyDescent="0.25"/>
  <cols>
    <col min="2" max="2" width="21.140625" customWidth="1"/>
    <col min="3" max="3" width="18.7109375" customWidth="1"/>
    <col min="4" max="4" width="22.7109375" customWidth="1"/>
    <col min="5" max="5" width="27.28515625" customWidth="1"/>
    <col min="6" max="6" width="19" customWidth="1"/>
    <col min="7" max="7" width="16.7109375" customWidth="1"/>
    <col min="8" max="8" width="14.7109375" customWidth="1"/>
  </cols>
  <sheetData>
    <row r="1" spans="1:18" x14ac:dyDescent="0.25">
      <c r="A1" s="59" t="s">
        <v>132</v>
      </c>
      <c r="J1" s="63"/>
      <c r="K1" s="63"/>
      <c r="L1" s="63"/>
      <c r="M1" s="63"/>
      <c r="N1" s="63"/>
      <c r="O1" s="63"/>
      <c r="P1" s="63"/>
      <c r="Q1" s="63"/>
    </row>
    <row r="2" spans="1:18" s="54" customFormat="1" x14ac:dyDescent="0.25">
      <c r="A2" s="1" t="s">
        <v>291</v>
      </c>
      <c r="J2" s="63"/>
      <c r="K2" s="63"/>
      <c r="L2" s="63"/>
      <c r="M2" s="63"/>
      <c r="N2" s="63"/>
      <c r="O2" s="63"/>
      <c r="P2" s="63"/>
      <c r="Q2" s="63"/>
    </row>
    <row r="3" spans="1:18" s="54" customFormat="1" x14ac:dyDescent="0.25">
      <c r="A3" s="1"/>
      <c r="J3"/>
      <c r="K3"/>
      <c r="L3"/>
      <c r="M3"/>
      <c r="N3"/>
      <c r="O3"/>
      <c r="P3"/>
      <c r="Q3"/>
    </row>
    <row r="4" spans="1:18" s="54" customFormat="1" x14ac:dyDescent="0.25">
      <c r="A4" s="58" t="s">
        <v>103</v>
      </c>
      <c r="B4" s="54" t="s">
        <v>572</v>
      </c>
      <c r="J4"/>
      <c r="K4"/>
      <c r="L4"/>
      <c r="M4"/>
      <c r="N4"/>
      <c r="O4"/>
      <c r="P4"/>
      <c r="Q4"/>
    </row>
    <row r="6" spans="1:18" x14ac:dyDescent="0.25">
      <c r="B6" s="651" t="s">
        <v>157</v>
      </c>
      <c r="C6" s="672" t="s">
        <v>573</v>
      </c>
      <c r="D6" s="672"/>
      <c r="E6" s="672"/>
      <c r="F6" s="672"/>
      <c r="G6" s="672"/>
      <c r="H6" s="672"/>
      <c r="I6" s="672"/>
    </row>
    <row r="7" spans="1:18" ht="15.75" thickBot="1" x14ac:dyDescent="0.3">
      <c r="B7" s="652"/>
      <c r="C7" s="52" t="s">
        <v>45</v>
      </c>
      <c r="D7" s="52" t="s">
        <v>46</v>
      </c>
      <c r="E7" s="52" t="s">
        <v>47</v>
      </c>
      <c r="F7" s="52" t="s">
        <v>48</v>
      </c>
      <c r="G7" s="52" t="s">
        <v>49</v>
      </c>
      <c r="H7" s="52" t="s">
        <v>50</v>
      </c>
      <c r="I7" s="52" t="s">
        <v>8</v>
      </c>
    </row>
    <row r="8" spans="1:18" ht="15.75" thickTop="1" x14ac:dyDescent="0.25">
      <c r="B8" s="28">
        <v>2009</v>
      </c>
      <c r="C8" s="31"/>
      <c r="D8" s="31"/>
      <c r="E8" s="31"/>
      <c r="F8" s="31"/>
      <c r="G8" s="31"/>
      <c r="H8" s="31"/>
      <c r="I8" s="31"/>
    </row>
    <row r="9" spans="1:18" x14ac:dyDescent="0.25">
      <c r="B9" s="10" t="s">
        <v>159</v>
      </c>
      <c r="C9" s="167">
        <v>7424.7849841817124</v>
      </c>
      <c r="D9" s="167">
        <v>61536.59941379571</v>
      </c>
      <c r="E9" s="167">
        <v>7502.9680606817119</v>
      </c>
      <c r="F9" s="167">
        <v>18085.175127000002</v>
      </c>
      <c r="G9" s="167">
        <v>7022.8992671999995</v>
      </c>
      <c r="H9" s="167">
        <v>19.713418594795719</v>
      </c>
      <c r="I9" s="50">
        <f>SUM(C9:H9)</f>
        <v>101592.14027145394</v>
      </c>
      <c r="J9" s="63"/>
    </row>
    <row r="10" spans="1:18" x14ac:dyDescent="0.25">
      <c r="B10" s="10" t="s">
        <v>160</v>
      </c>
      <c r="C10" s="167">
        <v>55.972964609999998</v>
      </c>
      <c r="D10" s="167">
        <v>9730.1962518591426</v>
      </c>
      <c r="E10" s="167">
        <v>881.0810337118287</v>
      </c>
      <c r="F10" s="167">
        <v>413.65071481817131</v>
      </c>
      <c r="G10" s="167">
        <v>0</v>
      </c>
      <c r="H10" s="167">
        <v>0</v>
      </c>
      <c r="I10" s="50">
        <f t="shared" ref="I10:I14" si="0">SUM(C10:H10)</f>
        <v>11080.900964999144</v>
      </c>
      <c r="J10" s="63"/>
    </row>
    <row r="11" spans="1:18" x14ac:dyDescent="0.25">
      <c r="B11" s="10" t="s">
        <v>161</v>
      </c>
      <c r="C11" s="167">
        <v>662.22442361408559</v>
      </c>
      <c r="D11" s="167">
        <v>1629.2176593591437</v>
      </c>
      <c r="E11" s="167">
        <v>54.246971685612849</v>
      </c>
      <c r="F11" s="167">
        <v>433.00976249408563</v>
      </c>
      <c r="G11" s="167">
        <v>0</v>
      </c>
      <c r="H11" s="167">
        <v>0</v>
      </c>
      <c r="I11" s="50">
        <f>SUM(C11:H11)</f>
        <v>2778.6988171529283</v>
      </c>
    </row>
    <row r="12" spans="1:18" x14ac:dyDescent="0.25">
      <c r="B12" s="10" t="s">
        <v>162</v>
      </c>
      <c r="C12" s="167">
        <v>1.5883695</v>
      </c>
      <c r="D12" s="167">
        <v>1071.6651400664584</v>
      </c>
      <c r="E12" s="167">
        <v>498.59695183182868</v>
      </c>
      <c r="F12" s="167">
        <v>5.4710504999999996</v>
      </c>
      <c r="G12" s="167">
        <v>0</v>
      </c>
      <c r="H12" s="167">
        <v>0</v>
      </c>
      <c r="I12" s="50">
        <f t="shared" si="0"/>
        <v>1577.3215118982871</v>
      </c>
    </row>
    <row r="13" spans="1:18" s="119" customFormat="1" x14ac:dyDescent="0.25">
      <c r="B13" s="120" t="s">
        <v>287</v>
      </c>
      <c r="C13" s="167">
        <v>18.825119999999998</v>
      </c>
      <c r="D13" s="167">
        <v>283.97575862999997</v>
      </c>
      <c r="E13" s="167">
        <v>4.7062799999999996</v>
      </c>
      <c r="F13" s="167">
        <v>87.095594249999976</v>
      </c>
      <c r="G13" s="167">
        <v>0</v>
      </c>
      <c r="H13" s="167">
        <v>0</v>
      </c>
      <c r="I13" s="560">
        <f t="shared" si="0"/>
        <v>394.60275287999991</v>
      </c>
      <c r="K13"/>
      <c r="L13"/>
      <c r="M13"/>
      <c r="N13"/>
      <c r="O13"/>
      <c r="P13"/>
      <c r="Q13"/>
      <c r="R13"/>
    </row>
    <row r="14" spans="1:18" x14ac:dyDescent="0.25">
      <c r="B14" s="10" t="s">
        <v>8</v>
      </c>
      <c r="C14" s="50">
        <f t="shared" ref="C14:H14" si="1">SUM(C9:C13)</f>
        <v>8163.3958619057994</v>
      </c>
      <c r="D14" s="50">
        <f t="shared" si="1"/>
        <v>74251.654223710444</v>
      </c>
      <c r="E14" s="50">
        <f t="shared" si="1"/>
        <v>8941.5992979109815</v>
      </c>
      <c r="F14" s="50">
        <f t="shared" si="1"/>
        <v>19024.402249062259</v>
      </c>
      <c r="G14" s="50">
        <f t="shared" si="1"/>
        <v>7022.8992671999995</v>
      </c>
      <c r="H14" s="50">
        <f t="shared" si="1"/>
        <v>19.713418594795719</v>
      </c>
      <c r="I14" s="50">
        <f t="shared" si="0"/>
        <v>117423.66431838428</v>
      </c>
    </row>
    <row r="15" spans="1:18" x14ac:dyDescent="0.25">
      <c r="B15" s="29">
        <v>2010</v>
      </c>
      <c r="C15" s="178"/>
      <c r="D15" s="178"/>
      <c r="E15" s="178"/>
      <c r="F15" s="178"/>
      <c r="G15" s="178"/>
      <c r="H15" s="178"/>
      <c r="I15" s="182"/>
    </row>
    <row r="16" spans="1:18" x14ac:dyDescent="0.25">
      <c r="B16" s="10" t="s">
        <v>159</v>
      </c>
      <c r="C16" s="162">
        <v>8468.3725873599997</v>
      </c>
      <c r="D16" s="162">
        <v>64799.357434799997</v>
      </c>
      <c r="E16" s="162">
        <v>6180.4818786200012</v>
      </c>
      <c r="F16" s="162">
        <v>22405.506997820001</v>
      </c>
      <c r="G16" s="162">
        <v>6068.229084040001</v>
      </c>
      <c r="H16" s="162">
        <v>10.111438699999999</v>
      </c>
      <c r="I16" s="179">
        <f>SUM(C16:H16)</f>
        <v>107932.05942134</v>
      </c>
      <c r="J16" s="63"/>
    </row>
    <row r="17" spans="2:21" x14ac:dyDescent="0.25">
      <c r="B17" s="10" t="s">
        <v>160</v>
      </c>
      <c r="C17" s="162">
        <v>67.036342000000005</v>
      </c>
      <c r="D17" s="162">
        <v>9463.9706988000016</v>
      </c>
      <c r="E17" s="162">
        <v>855.21644728000001</v>
      </c>
      <c r="F17" s="162">
        <v>589.08479752000005</v>
      </c>
      <c r="G17" s="162">
        <v>0</v>
      </c>
      <c r="H17" s="162">
        <v>0</v>
      </c>
      <c r="I17" s="179">
        <f t="shared" ref="I17:I20" si="2">SUM(C17:H17)</f>
        <v>10975.3082856</v>
      </c>
      <c r="J17" s="63"/>
    </row>
    <row r="18" spans="2:21" x14ac:dyDescent="0.25">
      <c r="B18" s="10" t="s">
        <v>161</v>
      </c>
      <c r="C18" s="162">
        <v>1080.1394282200001</v>
      </c>
      <c r="D18" s="162">
        <v>1601.9306844800001</v>
      </c>
      <c r="E18" s="162">
        <v>52.853819500000014</v>
      </c>
      <c r="F18" s="162">
        <v>643.57059260000005</v>
      </c>
      <c r="G18" s="162">
        <v>0</v>
      </c>
      <c r="H18" s="162">
        <v>0</v>
      </c>
      <c r="I18" s="179">
        <f t="shared" si="2"/>
        <v>3378.4945248000004</v>
      </c>
    </row>
    <row r="19" spans="2:21" x14ac:dyDescent="0.25">
      <c r="B19" s="10" t="s">
        <v>162</v>
      </c>
      <c r="C19" s="162">
        <v>6.6842100000000011</v>
      </c>
      <c r="D19" s="162">
        <v>1109.2630453600002</v>
      </c>
      <c r="E19" s="162">
        <v>617.09700764000002</v>
      </c>
      <c r="F19" s="162">
        <v>19.138550000000002</v>
      </c>
      <c r="G19" s="162">
        <v>0</v>
      </c>
      <c r="H19" s="162">
        <v>0</v>
      </c>
      <c r="I19" s="179">
        <f t="shared" si="2"/>
        <v>1752.1828130000001</v>
      </c>
    </row>
    <row r="20" spans="2:21" s="119" customFormat="1" x14ac:dyDescent="0.25">
      <c r="B20" s="120" t="s">
        <v>287</v>
      </c>
      <c r="C20" s="162">
        <v>6.6842100000000011</v>
      </c>
      <c r="D20" s="162">
        <v>1109.2630453600002</v>
      </c>
      <c r="E20" s="162">
        <v>617.09700764000002</v>
      </c>
      <c r="F20" s="162">
        <v>264.15312360000001</v>
      </c>
      <c r="G20" s="162">
        <v>0</v>
      </c>
      <c r="H20" s="162">
        <v>0</v>
      </c>
      <c r="I20" s="179">
        <f t="shared" si="2"/>
        <v>1997.1973866000003</v>
      </c>
      <c r="K20"/>
      <c r="L20"/>
      <c r="M20"/>
      <c r="N20"/>
      <c r="O20"/>
      <c r="P20"/>
      <c r="Q20"/>
      <c r="R20"/>
    </row>
    <row r="21" spans="2:21" x14ac:dyDescent="0.25">
      <c r="B21" s="11" t="s">
        <v>8</v>
      </c>
      <c r="C21" s="164">
        <f>SUM(C16:C20)</f>
        <v>9628.9167775799979</v>
      </c>
      <c r="D21" s="164">
        <f t="shared" ref="D21:H21" si="3">SUM(D16:D20)</f>
        <v>78083.784908799993</v>
      </c>
      <c r="E21" s="164">
        <f t="shared" si="3"/>
        <v>8322.7461606800007</v>
      </c>
      <c r="F21" s="164">
        <f t="shared" si="3"/>
        <v>23921.454061540004</v>
      </c>
      <c r="G21" s="164">
        <f t="shared" si="3"/>
        <v>6068.229084040001</v>
      </c>
      <c r="H21" s="164">
        <f t="shared" si="3"/>
        <v>10.111438699999999</v>
      </c>
      <c r="I21" s="164">
        <f>SUM(I16:I20)</f>
        <v>126035.24243134001</v>
      </c>
    </row>
    <row r="22" spans="2:21" x14ac:dyDescent="0.25">
      <c r="B22" s="28">
        <v>2011</v>
      </c>
      <c r="C22" s="167"/>
      <c r="D22" s="167"/>
      <c r="E22" s="167"/>
      <c r="F22" s="167"/>
      <c r="G22" s="167"/>
      <c r="H22" s="167"/>
      <c r="I22" s="50"/>
    </row>
    <row r="23" spans="2:21" x14ac:dyDescent="0.25">
      <c r="B23" s="10" t="s">
        <v>159</v>
      </c>
      <c r="C23" s="167">
        <v>9529.5026230299409</v>
      </c>
      <c r="D23" s="167">
        <v>83131.64092309885</v>
      </c>
      <c r="E23" s="167">
        <v>3231.9287267200566</v>
      </c>
      <c r="F23" s="167">
        <v>38252.955007799428</v>
      </c>
      <c r="G23" s="167">
        <v>947.26240554999981</v>
      </c>
      <c r="H23" s="167">
        <v>399.69803889999997</v>
      </c>
      <c r="I23" s="50">
        <f t="shared" ref="I23:I35" si="4">SUM(C23:H23)</f>
        <v>135492.98772509827</v>
      </c>
      <c r="J23" s="63"/>
    </row>
    <row r="24" spans="2:21" x14ac:dyDescent="0.25">
      <c r="B24" s="10" t="s">
        <v>160</v>
      </c>
      <c r="C24" s="167">
        <v>430.12542886901133</v>
      </c>
      <c r="D24" s="167">
        <v>10787.835202229087</v>
      </c>
      <c r="E24" s="167">
        <v>765.47451052499991</v>
      </c>
      <c r="F24" s="167">
        <v>764.11734150000007</v>
      </c>
      <c r="G24" s="167">
        <v>6.7009468449999998</v>
      </c>
      <c r="H24" s="167">
        <v>14.939143345</v>
      </c>
      <c r="I24" s="50">
        <f t="shared" si="4"/>
        <v>12769.192573313097</v>
      </c>
      <c r="J24" s="63"/>
    </row>
    <row r="25" spans="2:21" x14ac:dyDescent="0.25">
      <c r="B25" s="10" t="s">
        <v>161</v>
      </c>
      <c r="C25" s="167">
        <v>3715.4561566901139</v>
      </c>
      <c r="D25" s="167">
        <v>4185.3200045299427</v>
      </c>
      <c r="E25" s="167">
        <v>160.8602504029943</v>
      </c>
      <c r="F25" s="167">
        <v>908.30011209700558</v>
      </c>
      <c r="G25" s="167">
        <v>67.369410899999991</v>
      </c>
      <c r="H25" s="167">
        <v>101.51142924999999</v>
      </c>
      <c r="I25" s="50">
        <f t="shared" si="4"/>
        <v>9138.8173638700573</v>
      </c>
    </row>
    <row r="26" spans="2:21" x14ac:dyDescent="0.25">
      <c r="B26" s="10" t="s">
        <v>162</v>
      </c>
      <c r="C26" s="167">
        <v>47.282652899999995</v>
      </c>
      <c r="D26" s="167">
        <v>289.13378372799428</v>
      </c>
      <c r="E26" s="167">
        <v>34.003073999999998</v>
      </c>
      <c r="F26" s="167">
        <v>126.0833544220057</v>
      </c>
      <c r="G26" s="167">
        <v>71.208432349999995</v>
      </c>
      <c r="H26" s="167">
        <v>0</v>
      </c>
      <c r="I26" s="50">
        <f t="shared" si="4"/>
        <v>567.71129740000003</v>
      </c>
    </row>
    <row r="27" spans="2:21" s="119" customFormat="1" x14ac:dyDescent="0.25">
      <c r="B27" s="120" t="s">
        <v>287</v>
      </c>
      <c r="C27" s="167">
        <v>127.81676744999999</v>
      </c>
      <c r="D27" s="167">
        <v>972.27895284999988</v>
      </c>
      <c r="E27" s="167">
        <v>534.67973979999999</v>
      </c>
      <c r="F27" s="167">
        <v>76.942392182799438</v>
      </c>
      <c r="G27" s="167">
        <v>24.840361467200566</v>
      </c>
      <c r="H27" s="167">
        <v>0</v>
      </c>
      <c r="I27" s="560">
        <f t="shared" si="4"/>
        <v>1736.5582137499998</v>
      </c>
      <c r="J27"/>
      <c r="K27"/>
      <c r="L27"/>
      <c r="M27"/>
      <c r="N27"/>
      <c r="O27"/>
      <c r="P27"/>
      <c r="Q27"/>
      <c r="R27"/>
      <c r="S27"/>
      <c r="T27"/>
      <c r="U27"/>
    </row>
    <row r="28" spans="2:21" x14ac:dyDescent="0.25">
      <c r="B28" s="10" t="s">
        <v>8</v>
      </c>
      <c r="C28" s="50">
        <f t="shared" ref="C28:H28" si="5">SUM(C23:C27)</f>
        <v>13850.183628939065</v>
      </c>
      <c r="D28" s="50">
        <f t="shared" si="5"/>
        <v>99366.208866435889</v>
      </c>
      <c r="E28" s="50">
        <f t="shared" si="5"/>
        <v>4726.9463014480507</v>
      </c>
      <c r="F28" s="50">
        <f t="shared" si="5"/>
        <v>40128.398208001243</v>
      </c>
      <c r="G28" s="50">
        <f t="shared" si="5"/>
        <v>1117.3815571122004</v>
      </c>
      <c r="H28" s="50">
        <f t="shared" si="5"/>
        <v>516.14861149499995</v>
      </c>
      <c r="I28" s="50">
        <f>SUM(C28:H28)</f>
        <v>159705.26717343146</v>
      </c>
    </row>
    <row r="29" spans="2:21" x14ac:dyDescent="0.25">
      <c r="B29" s="29">
        <v>2012</v>
      </c>
      <c r="C29" s="178"/>
      <c r="D29" s="178"/>
      <c r="E29" s="178"/>
      <c r="F29" s="178"/>
      <c r="G29" s="178"/>
      <c r="H29" s="178"/>
      <c r="I29" s="182"/>
    </row>
    <row r="30" spans="2:21" x14ac:dyDescent="0.25">
      <c r="B30" s="10" t="s">
        <v>159</v>
      </c>
      <c r="C30" s="162">
        <v>9926.1973135700009</v>
      </c>
      <c r="D30" s="162">
        <v>95914.4420388</v>
      </c>
      <c r="E30" s="162">
        <v>3960.4504435499998</v>
      </c>
      <c r="F30" s="162">
        <v>38654.242551099996</v>
      </c>
      <c r="G30" s="162">
        <v>611.10998109799993</v>
      </c>
      <c r="H30" s="162">
        <v>441.09753510000002</v>
      </c>
      <c r="I30" s="179">
        <f t="shared" si="4"/>
        <v>149507.539863218</v>
      </c>
    </row>
    <row r="31" spans="2:21" x14ac:dyDescent="0.25">
      <c r="B31" s="10" t="s">
        <v>160</v>
      </c>
      <c r="C31" s="162">
        <v>825.07694428599996</v>
      </c>
      <c r="D31" s="162">
        <v>10671.678743831068</v>
      </c>
      <c r="E31" s="162">
        <v>1391.8510011800001</v>
      </c>
      <c r="F31" s="162">
        <v>904.66067638499999</v>
      </c>
      <c r="G31" s="162">
        <v>8.9360062760000023</v>
      </c>
      <c r="H31" s="162">
        <v>13.603876176</v>
      </c>
      <c r="I31" s="179">
        <f t="shared" si="4"/>
        <v>13815.807248134068</v>
      </c>
    </row>
    <row r="32" spans="2:21" x14ac:dyDescent="0.25">
      <c r="B32" s="10" t="s">
        <v>161</v>
      </c>
      <c r="C32" s="162">
        <v>861.15656012900001</v>
      </c>
      <c r="D32" s="162">
        <v>5097.6265594999995</v>
      </c>
      <c r="E32" s="162">
        <v>309.65775712300001</v>
      </c>
      <c r="F32" s="162">
        <v>1262.0109119200001</v>
      </c>
      <c r="G32" s="162">
        <v>84.736122582499988</v>
      </c>
      <c r="H32" s="162">
        <v>72.433913729999986</v>
      </c>
      <c r="I32" s="179">
        <f t="shared" si="4"/>
        <v>7687.6218249845006</v>
      </c>
    </row>
    <row r="33" spans="1:18" x14ac:dyDescent="0.25">
      <c r="B33" s="10" t="s">
        <v>162</v>
      </c>
      <c r="C33" s="162">
        <v>15.6853365</v>
      </c>
      <c r="D33" s="162">
        <v>484.22045994800004</v>
      </c>
      <c r="E33" s="162">
        <v>110.93791123999999</v>
      </c>
      <c r="F33" s="162">
        <v>165.71800568999998</v>
      </c>
      <c r="G33" s="162">
        <v>122.989639822</v>
      </c>
      <c r="H33" s="162">
        <v>0</v>
      </c>
      <c r="I33" s="179">
        <f t="shared" si="4"/>
        <v>899.55135319999988</v>
      </c>
    </row>
    <row r="34" spans="1:18" s="119" customFormat="1" x14ac:dyDescent="0.25">
      <c r="B34" s="120" t="s">
        <v>287</v>
      </c>
      <c r="C34" s="162">
        <v>185.63935327199999</v>
      </c>
      <c r="D34" s="162">
        <v>870.92857867000009</v>
      </c>
      <c r="E34" s="162">
        <v>1589.3752039899998</v>
      </c>
      <c r="F34" s="162">
        <v>112.99306763199999</v>
      </c>
      <c r="G34" s="162">
        <v>20.753371135999998</v>
      </c>
      <c r="H34" s="162">
        <v>0</v>
      </c>
      <c r="I34" s="561">
        <f>SUM(C34:H34)</f>
        <v>2779.6895746999999</v>
      </c>
      <c r="J34"/>
      <c r="K34"/>
      <c r="L34"/>
      <c r="M34"/>
      <c r="N34"/>
      <c r="O34"/>
      <c r="P34"/>
      <c r="Q34"/>
      <c r="R34"/>
    </row>
    <row r="35" spans="1:18" x14ac:dyDescent="0.25">
      <c r="B35" s="248" t="s">
        <v>8</v>
      </c>
      <c r="C35" s="164">
        <f t="shared" ref="C35:H35" si="6">SUM(C30:C34)</f>
        <v>11813.755507757001</v>
      </c>
      <c r="D35" s="164">
        <f t="shared" si="6"/>
        <v>113038.89638074908</v>
      </c>
      <c r="E35" s="164">
        <f t="shared" si="6"/>
        <v>7362.2723170830004</v>
      </c>
      <c r="F35" s="164">
        <f t="shared" si="6"/>
        <v>41099.625212726998</v>
      </c>
      <c r="G35" s="164">
        <f t="shared" si="6"/>
        <v>848.52512091449989</v>
      </c>
      <c r="H35" s="164">
        <f t="shared" si="6"/>
        <v>527.13532500600002</v>
      </c>
      <c r="I35" s="164">
        <f t="shared" si="4"/>
        <v>174690.20986423659</v>
      </c>
    </row>
    <row r="36" spans="1:18" x14ac:dyDescent="0.25">
      <c r="B36" s="172">
        <v>2013</v>
      </c>
      <c r="C36" s="562"/>
      <c r="D36" s="562"/>
      <c r="E36" s="562"/>
      <c r="F36" s="562"/>
      <c r="G36" s="562"/>
      <c r="H36" s="562"/>
      <c r="I36" s="562"/>
    </row>
    <row r="37" spans="1:18" x14ac:dyDescent="0.25">
      <c r="A37" s="140"/>
      <c r="B37" s="157" t="s">
        <v>159</v>
      </c>
      <c r="C37" s="162">
        <v>7447.5612788593253</v>
      </c>
      <c r="D37" s="162">
        <v>99713.622941931404</v>
      </c>
      <c r="E37" s="162">
        <v>15530.5684376463</v>
      </c>
      <c r="F37" s="162">
        <v>27882.362927793147</v>
      </c>
      <c r="G37" s="162">
        <v>1071.8802171048001</v>
      </c>
      <c r="H37" s="162">
        <v>14909.217069722401</v>
      </c>
      <c r="I37" s="179">
        <f>SUM(C37:H37)</f>
        <v>166555.21287305737</v>
      </c>
    </row>
    <row r="38" spans="1:18" x14ac:dyDescent="0.25">
      <c r="B38" s="157" t="s">
        <v>160</v>
      </c>
      <c r="C38" s="162">
        <v>853.40674969999998</v>
      </c>
      <c r="D38" s="162">
        <v>10162.9971422443</v>
      </c>
      <c r="E38" s="162">
        <v>763.907193656</v>
      </c>
      <c r="F38" s="162">
        <v>1079.9262737820002</v>
      </c>
      <c r="G38" s="162">
        <v>300.27300300650001</v>
      </c>
      <c r="H38" s="162">
        <v>7.5345840000000006</v>
      </c>
      <c r="I38" s="179">
        <f t="shared" ref="I38:I40" si="7">SUM(C38:H38)</f>
        <v>13168.0449463888</v>
      </c>
    </row>
    <row r="39" spans="1:18" x14ac:dyDescent="0.25">
      <c r="B39" s="157" t="s">
        <v>161</v>
      </c>
      <c r="C39" s="162">
        <v>1132.1501707673999</v>
      </c>
      <c r="D39" s="162">
        <v>5123.8479656763802</v>
      </c>
      <c r="E39" s="162">
        <v>77.797195974999994</v>
      </c>
      <c r="F39" s="162">
        <v>1573.2753986695</v>
      </c>
      <c r="G39" s="162">
        <v>74.965029567000002</v>
      </c>
      <c r="H39" s="162">
        <v>17.057461</v>
      </c>
      <c r="I39" s="179">
        <f t="shared" si="7"/>
        <v>7999.0932216552801</v>
      </c>
    </row>
    <row r="40" spans="1:18" x14ac:dyDescent="0.25">
      <c r="B40" s="157" t="s">
        <v>162</v>
      </c>
      <c r="C40" s="162">
        <v>1188.3578325369999</v>
      </c>
      <c r="D40" s="162">
        <v>3425.8780230899997</v>
      </c>
      <c r="E40" s="162">
        <v>2416.5989390079999</v>
      </c>
      <c r="F40" s="162">
        <v>1455.961559525</v>
      </c>
      <c r="G40" s="162">
        <v>81.94801923</v>
      </c>
      <c r="H40" s="162">
        <v>0</v>
      </c>
      <c r="I40" s="563">
        <f t="shared" si="7"/>
        <v>8568.7443733899981</v>
      </c>
    </row>
    <row r="41" spans="1:18" x14ac:dyDescent="0.25">
      <c r="B41" s="159" t="s">
        <v>8</v>
      </c>
      <c r="C41" s="164">
        <f t="shared" ref="C41:I41" si="8">SUM(C37:C40)</f>
        <v>10621.476031863725</v>
      </c>
      <c r="D41" s="164">
        <f t="shared" si="8"/>
        <v>118426.34607294209</v>
      </c>
      <c r="E41" s="164">
        <f t="shared" si="8"/>
        <v>18788.871766285298</v>
      </c>
      <c r="F41" s="164">
        <f t="shared" si="8"/>
        <v>31991.526159769644</v>
      </c>
      <c r="G41" s="164">
        <f t="shared" si="8"/>
        <v>1529.0662689083001</v>
      </c>
      <c r="H41" s="164">
        <f t="shared" si="8"/>
        <v>14933.809114722402</v>
      </c>
      <c r="I41" s="164">
        <f t="shared" si="8"/>
        <v>196291.09541449146</v>
      </c>
    </row>
    <row r="42" spans="1:18" x14ac:dyDescent="0.25">
      <c r="B42" s="172" t="s">
        <v>447</v>
      </c>
      <c r="C42" s="562"/>
      <c r="D42" s="562"/>
      <c r="E42" s="562"/>
      <c r="F42" s="562"/>
      <c r="G42" s="562"/>
      <c r="H42" s="562"/>
      <c r="I42" s="562"/>
    </row>
    <row r="43" spans="1:18" x14ac:dyDescent="0.25">
      <c r="B43" s="157" t="s">
        <v>159</v>
      </c>
      <c r="C43" s="162">
        <v>7431.8654800000004</v>
      </c>
      <c r="D43" s="162">
        <v>94854.689020000005</v>
      </c>
      <c r="E43" s="162">
        <v>14302.35773</v>
      </c>
      <c r="F43" s="162">
        <v>37490.173439999999</v>
      </c>
      <c r="G43" s="162">
        <v>313.58101499999998</v>
      </c>
      <c r="H43" s="162">
        <v>305.16595000000001</v>
      </c>
      <c r="I43" s="179">
        <f>SUM(C43:H43)</f>
        <v>154697.832635</v>
      </c>
    </row>
    <row r="44" spans="1:18" x14ac:dyDescent="0.25">
      <c r="B44" s="157" t="s">
        <v>160</v>
      </c>
      <c r="C44" s="162">
        <v>1700.7754500000001</v>
      </c>
      <c r="D44" s="162">
        <v>7527.05603625</v>
      </c>
      <c r="E44" s="162">
        <v>1043.20138</v>
      </c>
      <c r="F44" s="162">
        <v>1075.6397449999999</v>
      </c>
      <c r="G44" s="162">
        <v>296.36079999999998</v>
      </c>
      <c r="H44" s="162">
        <v>2.9956999999999998</v>
      </c>
      <c r="I44" s="179">
        <f t="shared" ref="I44:I45" si="9">SUM(C44:H44)</f>
        <v>11646.029111250002</v>
      </c>
    </row>
    <row r="45" spans="1:18" x14ac:dyDescent="0.25">
      <c r="B45" s="157" t="s">
        <v>161</v>
      </c>
      <c r="C45" s="162">
        <v>1469.41975</v>
      </c>
      <c r="D45" s="162">
        <v>5569.0353249999998</v>
      </c>
      <c r="E45" s="162">
        <v>918.88175000000001</v>
      </c>
      <c r="F45" s="162">
        <v>2471.7595000000001</v>
      </c>
      <c r="G45" s="162">
        <v>229.09012000000001</v>
      </c>
      <c r="H45" s="162">
        <v>139.23658</v>
      </c>
      <c r="I45" s="179">
        <f t="shared" si="9"/>
        <v>10797.423025000002</v>
      </c>
    </row>
    <row r="46" spans="1:18" x14ac:dyDescent="0.25">
      <c r="B46" s="157" t="s">
        <v>162</v>
      </c>
      <c r="C46" s="162">
        <v>1933.6669099999999</v>
      </c>
      <c r="D46" s="162">
        <v>4193.5968800000001</v>
      </c>
      <c r="E46" s="162">
        <v>2892.9612000000002</v>
      </c>
      <c r="F46" s="162">
        <v>688.34460000000001</v>
      </c>
      <c r="G46" s="162">
        <v>75.551000000000002</v>
      </c>
      <c r="H46" s="162">
        <v>19.7864</v>
      </c>
      <c r="I46" s="563">
        <f>SUM(C46:H46)</f>
        <v>9803.9069900000013</v>
      </c>
    </row>
    <row r="47" spans="1:18" x14ac:dyDescent="0.25">
      <c r="B47" s="159" t="s">
        <v>8</v>
      </c>
      <c r="C47" s="164">
        <f t="shared" ref="C47:I47" si="10">SUM(C43:C46)</f>
        <v>12535.727590000002</v>
      </c>
      <c r="D47" s="164">
        <f t="shared" si="10"/>
        <v>112144.37726125</v>
      </c>
      <c r="E47" s="164">
        <f t="shared" si="10"/>
        <v>19157.40206</v>
      </c>
      <c r="F47" s="164">
        <f t="shared" si="10"/>
        <v>41725.917284999996</v>
      </c>
      <c r="G47" s="164">
        <f t="shared" si="10"/>
        <v>914.58293500000002</v>
      </c>
      <c r="H47" s="164">
        <f t="shared" si="10"/>
        <v>467.18463000000003</v>
      </c>
      <c r="I47" s="164">
        <f t="shared" si="10"/>
        <v>186945.19176125</v>
      </c>
    </row>
  </sheetData>
  <sheetProtection password="C69F" sheet="1" objects="1" scenarios="1"/>
  <mergeCells count="2">
    <mergeCell ref="C6:I6"/>
    <mergeCell ref="B6:B7"/>
  </mergeCells>
  <hyperlinks>
    <hyperlink ref="A1" location="ÍNDICE!A1" display="ÍNDICE"/>
  </hyperlink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N51"/>
  <sheetViews>
    <sheetView zoomScale="90" zoomScaleNormal="90" workbookViewId="0"/>
  </sheetViews>
  <sheetFormatPr baseColWidth="10" defaultRowHeight="15" x14ac:dyDescent="0.25"/>
  <cols>
    <col min="2" max="2" width="18.140625" customWidth="1"/>
    <col min="3" max="3" width="13.28515625" customWidth="1"/>
    <col min="4" max="4" width="18.140625" customWidth="1"/>
    <col min="5" max="5" width="13.28515625" customWidth="1"/>
    <col min="6" max="6" width="13.85546875" style="136" customWidth="1"/>
    <col min="7" max="7" width="14.7109375" customWidth="1"/>
    <col min="8" max="8" width="14.28515625" style="136" customWidth="1"/>
    <col min="10" max="10" width="11.42578125" style="136"/>
    <col min="12" max="12" width="11.42578125" style="136"/>
  </cols>
  <sheetData>
    <row r="1" spans="1:8" x14ac:dyDescent="0.25">
      <c r="A1" s="59" t="s">
        <v>132</v>
      </c>
    </row>
    <row r="2" spans="1:8" x14ac:dyDescent="0.25">
      <c r="A2" s="1" t="s">
        <v>292</v>
      </c>
    </row>
    <row r="3" spans="1:8" x14ac:dyDescent="0.25">
      <c r="A3" s="1"/>
    </row>
    <row r="4" spans="1:8" x14ac:dyDescent="0.25">
      <c r="A4" s="58" t="s">
        <v>103</v>
      </c>
      <c r="B4" t="s">
        <v>574</v>
      </c>
    </row>
    <row r="5" spans="1:8" s="204" customFormat="1" x14ac:dyDescent="0.25"/>
    <row r="6" spans="1:8" s="204" customFormat="1" x14ac:dyDescent="0.25"/>
    <row r="7" spans="1:8" s="204" customFormat="1" x14ac:dyDescent="0.25"/>
    <row r="8" spans="1:8" s="204" customFormat="1" x14ac:dyDescent="0.25">
      <c r="B8" s="712" t="s">
        <v>575</v>
      </c>
      <c r="C8" s="713"/>
      <c r="D8" s="713"/>
      <c r="E8" s="713"/>
      <c r="F8" s="713"/>
      <c r="G8" s="713"/>
      <c r="H8" s="246"/>
    </row>
    <row r="9" spans="1:8" s="204" customFormat="1" x14ac:dyDescent="0.25">
      <c r="B9" s="228" t="s">
        <v>170</v>
      </c>
      <c r="C9" s="568">
        <v>2009</v>
      </c>
      <c r="D9" s="568">
        <v>2010</v>
      </c>
      <c r="E9" s="568">
        <v>2011</v>
      </c>
      <c r="F9" s="568">
        <v>2012</v>
      </c>
      <c r="G9" s="567">
        <v>2013</v>
      </c>
      <c r="H9" s="576" t="s">
        <v>447</v>
      </c>
    </row>
    <row r="10" spans="1:8" s="204" customFormat="1" ht="15.75" thickBot="1" x14ac:dyDescent="0.3">
      <c r="B10" s="229"/>
      <c r="C10" s="183" t="s">
        <v>8</v>
      </c>
      <c r="D10" s="183" t="s">
        <v>8</v>
      </c>
      <c r="E10" s="183" t="s">
        <v>8</v>
      </c>
      <c r="F10" s="183" t="s">
        <v>8</v>
      </c>
      <c r="G10" s="230" t="s">
        <v>8</v>
      </c>
      <c r="H10" s="230" t="s">
        <v>8</v>
      </c>
    </row>
    <row r="11" spans="1:8" s="204" customFormat="1" ht="15.75" thickTop="1" x14ac:dyDescent="0.25">
      <c r="B11" s="195" t="s">
        <v>163</v>
      </c>
      <c r="C11" s="189">
        <f>C21</f>
        <v>11892.851919899998</v>
      </c>
      <c r="D11" s="189">
        <f>E21</f>
        <v>12993.578644000001</v>
      </c>
      <c r="E11" s="189">
        <f>G21</f>
        <v>15536.577720000001</v>
      </c>
      <c r="F11" s="189">
        <f>I21</f>
        <v>17551.7190587</v>
      </c>
      <c r="G11" s="518">
        <f>K21</f>
        <v>23943.48370633</v>
      </c>
      <c r="H11" s="518">
        <f>SUM(M21)</f>
        <v>20219.615000000002</v>
      </c>
    </row>
    <row r="12" spans="1:8" s="204" customFormat="1" x14ac:dyDescent="0.25">
      <c r="B12" s="195" t="s">
        <v>164</v>
      </c>
      <c r="C12" s="189">
        <f>C22</f>
        <v>23720.227719300001</v>
      </c>
      <c r="D12" s="189">
        <f>E22</f>
        <v>27951.286688000004</v>
      </c>
      <c r="E12" s="189">
        <f>G22</f>
        <v>11486.48292</v>
      </c>
      <c r="F12" s="189">
        <f>I22</f>
        <v>9832.7935602799989</v>
      </c>
      <c r="G12" s="518">
        <f>K22</f>
        <v>18269.859283200003</v>
      </c>
      <c r="H12" s="518">
        <f>SUM(M22)</f>
        <v>21056.867999999999</v>
      </c>
    </row>
    <row r="13" spans="1:8" s="204" customFormat="1" x14ac:dyDescent="0.25">
      <c r="B13" s="195" t="s">
        <v>435</v>
      </c>
      <c r="C13" s="189">
        <f>C23+C24</f>
        <v>40789.293462899994</v>
      </c>
      <c r="D13" s="189">
        <f>E23+E24</f>
        <v>35215.160520000005</v>
      </c>
      <c r="E13" s="189">
        <f>G24+G25</f>
        <v>29219.912264000002</v>
      </c>
      <c r="F13" s="189">
        <f>I23+I24</f>
        <v>59338.846153400002</v>
      </c>
      <c r="G13" s="518">
        <f>K23+K24</f>
        <v>57572.985946250003</v>
      </c>
      <c r="H13" s="518">
        <f>SUM(M23:M24)</f>
        <v>39601.747000000003</v>
      </c>
    </row>
    <row r="14" spans="1:8" s="204" customFormat="1" x14ac:dyDescent="0.25">
      <c r="B14" s="195" t="s">
        <v>436</v>
      </c>
      <c r="C14" s="189">
        <f>SUM(C25:C31)</f>
        <v>41021.306007479994</v>
      </c>
      <c r="D14" s="189">
        <f>SUM(E25:E31)</f>
        <v>48179.372058800007</v>
      </c>
      <c r="E14" s="189">
        <f>SUM(G25:G31)</f>
        <v>79393.802488000001</v>
      </c>
      <c r="F14" s="189">
        <f>SUM(I25:I31)</f>
        <v>87966.857753140008</v>
      </c>
      <c r="G14" s="518">
        <f>SUM(K25:K31)</f>
        <v>96504.765404509992</v>
      </c>
      <c r="H14" s="518">
        <f>SUM(M25:M31)</f>
        <v>106066.96100000001</v>
      </c>
    </row>
    <row r="15" spans="1:8" s="204" customFormat="1" x14ac:dyDescent="0.25">
      <c r="B15" s="88" t="s">
        <v>8</v>
      </c>
      <c r="C15" s="190">
        <f t="shared" ref="C15:H15" si="0">SUM(C11:C14)</f>
        <v>117423.67910957997</v>
      </c>
      <c r="D15" s="190">
        <f t="shared" si="0"/>
        <v>124339.39791080001</v>
      </c>
      <c r="E15" s="190">
        <f t="shared" si="0"/>
        <v>135636.77539200001</v>
      </c>
      <c r="F15" s="190">
        <f t="shared" si="0"/>
        <v>174690.21652552002</v>
      </c>
      <c r="G15" s="522">
        <f t="shared" si="0"/>
        <v>196291.09434029</v>
      </c>
      <c r="H15" s="522">
        <f t="shared" si="0"/>
        <v>186945.19100000002</v>
      </c>
    </row>
    <row r="16" spans="1:8" s="204" customFormat="1" x14ac:dyDescent="0.25">
      <c r="B16" s="247"/>
      <c r="C16" s="97"/>
      <c r="D16" s="97"/>
      <c r="E16" s="97"/>
      <c r="F16" s="97"/>
      <c r="G16" s="97"/>
      <c r="H16" s="97"/>
    </row>
    <row r="17" spans="1:14" s="62" customFormat="1" x14ac:dyDescent="0.25">
      <c r="A17" s="121"/>
      <c r="B17" s="85"/>
      <c r="C17" s="85"/>
      <c r="D17" s="85"/>
      <c r="E17" s="85"/>
      <c r="F17" s="85"/>
      <c r="G17" s="85"/>
      <c r="H17" s="85"/>
      <c r="J17" s="136"/>
    </row>
    <row r="18" spans="1:14" ht="30" customHeight="1" x14ac:dyDescent="0.25">
      <c r="A18" s="121"/>
      <c r="B18" s="228"/>
      <c r="C18" s="646" t="s">
        <v>575</v>
      </c>
      <c r="D18" s="651"/>
      <c r="E18" s="651"/>
      <c r="F18" s="651"/>
      <c r="G18" s="651"/>
      <c r="H18" s="651"/>
      <c r="I18" s="651"/>
      <c r="J18" s="651"/>
      <c r="K18" s="651"/>
      <c r="L18" s="651"/>
      <c r="M18" s="113"/>
      <c r="N18" s="246"/>
    </row>
    <row r="19" spans="1:14" s="136" customFormat="1" ht="27.75" customHeight="1" x14ac:dyDescent="0.25">
      <c r="B19" s="228" t="s">
        <v>170</v>
      </c>
      <c r="C19" s="711">
        <v>2009</v>
      </c>
      <c r="D19" s="690"/>
      <c r="E19" s="711">
        <v>2010</v>
      </c>
      <c r="F19" s="690"/>
      <c r="G19" s="711">
        <v>2011</v>
      </c>
      <c r="H19" s="690"/>
      <c r="I19" s="711">
        <v>2012</v>
      </c>
      <c r="J19" s="690"/>
      <c r="K19" s="711">
        <v>2013</v>
      </c>
      <c r="L19" s="690"/>
      <c r="M19" s="711" t="s">
        <v>447</v>
      </c>
      <c r="N19" s="690"/>
    </row>
    <row r="20" spans="1:14" ht="15.75" thickBot="1" x14ac:dyDescent="0.3">
      <c r="A20" s="121"/>
      <c r="B20" s="229"/>
      <c r="C20" s="81" t="s">
        <v>8</v>
      </c>
      <c r="D20" s="82" t="s">
        <v>379</v>
      </c>
      <c r="E20" s="81" t="s">
        <v>8</v>
      </c>
      <c r="F20" s="82" t="s">
        <v>379</v>
      </c>
      <c r="G20" s="81" t="s">
        <v>8</v>
      </c>
      <c r="H20" s="82" t="s">
        <v>379</v>
      </c>
      <c r="I20" s="81" t="s">
        <v>8</v>
      </c>
      <c r="J20" s="82" t="s">
        <v>379</v>
      </c>
      <c r="K20" s="81" t="s">
        <v>8</v>
      </c>
      <c r="L20" s="82" t="s">
        <v>379</v>
      </c>
      <c r="M20" s="183" t="s">
        <v>8</v>
      </c>
      <c r="N20" s="184" t="s">
        <v>379</v>
      </c>
    </row>
    <row r="21" spans="1:14" ht="15.75" thickTop="1" x14ac:dyDescent="0.25">
      <c r="A21" s="121"/>
      <c r="B21" s="195" t="s">
        <v>163</v>
      </c>
      <c r="C21" s="189">
        <v>11892.851919899998</v>
      </c>
      <c r="D21" s="141">
        <v>276.57806107395345</v>
      </c>
      <c r="E21" s="189">
        <v>12993.578644000001</v>
      </c>
      <c r="F21" s="141">
        <v>276.45904715319148</v>
      </c>
      <c r="G21" s="189">
        <v>15536.577720000001</v>
      </c>
      <c r="H21" s="141">
        <v>184.95925857142859</v>
      </c>
      <c r="I21" s="189">
        <v>17551.7190587</v>
      </c>
      <c r="J21" s="141">
        <v>168.76647758221148</v>
      </c>
      <c r="K21" s="189">
        <v>23943.48370633</v>
      </c>
      <c r="L21" s="141">
        <v>173.50350511833332</v>
      </c>
      <c r="M21" s="189">
        <v>20219.615000000002</v>
      </c>
      <c r="N21" s="141">
        <v>152.02718045112783</v>
      </c>
    </row>
    <row r="22" spans="1:14" x14ac:dyDescent="0.25">
      <c r="A22" s="121"/>
      <c r="B22" s="195" t="s">
        <v>164</v>
      </c>
      <c r="C22" s="189">
        <v>23720.227719300001</v>
      </c>
      <c r="D22" s="141">
        <v>484.08625597408161</v>
      </c>
      <c r="E22" s="189">
        <v>27951.286688000004</v>
      </c>
      <c r="F22" s="141">
        <v>508.20515018545461</v>
      </c>
      <c r="G22" s="189">
        <v>11486.48292</v>
      </c>
      <c r="H22" s="141">
        <v>159.53442655555557</v>
      </c>
      <c r="I22" s="189">
        <v>9832.7935602799989</v>
      </c>
      <c r="J22" s="141">
        <v>131.10392851080002</v>
      </c>
      <c r="K22" s="189">
        <v>18269.859283200003</v>
      </c>
      <c r="L22" s="141">
        <v>169.16536373333335</v>
      </c>
      <c r="M22" s="189">
        <v>21056.867999999999</v>
      </c>
      <c r="N22" s="141">
        <v>172.59727868852457</v>
      </c>
    </row>
    <row r="23" spans="1:14" x14ac:dyDescent="0.25">
      <c r="A23" s="121"/>
      <c r="B23" s="195" t="s">
        <v>165</v>
      </c>
      <c r="C23" s="189">
        <v>14324.316184799998</v>
      </c>
      <c r="D23" s="141">
        <v>280.86882944999996</v>
      </c>
      <c r="E23" s="189">
        <v>14572.171952000001</v>
      </c>
      <c r="F23" s="141">
        <v>274.94670527924524</v>
      </c>
      <c r="G23" s="189">
        <v>25801.036400000001</v>
      </c>
      <c r="H23" s="141">
        <v>348.66261140540541</v>
      </c>
      <c r="I23" s="189">
        <v>27586.787700000001</v>
      </c>
      <c r="J23" s="141">
        <v>336.42425339060975</v>
      </c>
      <c r="K23" s="189">
        <v>27866.577299339999</v>
      </c>
      <c r="L23" s="141">
        <v>309.62863665933332</v>
      </c>
      <c r="M23" s="189">
        <v>30434.993999999999</v>
      </c>
      <c r="N23" s="141">
        <v>327.25799999999998</v>
      </c>
    </row>
    <row r="24" spans="1:14" x14ac:dyDescent="0.25">
      <c r="A24" s="121"/>
      <c r="B24" s="195" t="s">
        <v>166</v>
      </c>
      <c r="C24" s="189">
        <v>26464.977278099999</v>
      </c>
      <c r="D24" s="141">
        <v>529.29954556199993</v>
      </c>
      <c r="E24" s="189">
        <v>20642.988568000001</v>
      </c>
      <c r="F24" s="141">
        <v>382.27752375555559</v>
      </c>
      <c r="G24" s="189">
        <v>21349.067080000001</v>
      </c>
      <c r="H24" s="141">
        <v>296.51479133333333</v>
      </c>
      <c r="I24" s="189">
        <v>31752.058453400001</v>
      </c>
      <c r="J24" s="141">
        <v>373.55364154623527</v>
      </c>
      <c r="K24" s="189">
        <v>29706.40864691</v>
      </c>
      <c r="L24" s="141">
        <v>285.63854468182694</v>
      </c>
      <c r="M24" s="189">
        <v>9166.7530000000006</v>
      </c>
      <c r="N24" s="141">
        <v>134.8051911764706</v>
      </c>
    </row>
    <row r="25" spans="1:14" x14ac:dyDescent="0.25">
      <c r="A25" s="121"/>
      <c r="B25" s="195" t="s">
        <v>167</v>
      </c>
      <c r="C25" s="189">
        <v>13941.554432399998</v>
      </c>
      <c r="D25" s="141">
        <v>633.70691269363624</v>
      </c>
      <c r="E25" s="189">
        <v>16450.834871999999</v>
      </c>
      <c r="F25" s="141">
        <v>685.45164343333329</v>
      </c>
      <c r="G25" s="189">
        <v>7870.8451840000007</v>
      </c>
      <c r="H25" s="141">
        <v>231.49544658823532</v>
      </c>
      <c r="I25" s="189">
        <v>8986.8224541399995</v>
      </c>
      <c r="J25" s="141">
        <v>264.31830747470588</v>
      </c>
      <c r="K25" s="189">
        <v>8707.3765331100003</v>
      </c>
      <c r="L25" s="141">
        <v>248.78218666028599</v>
      </c>
      <c r="M25" s="189">
        <v>25984.548999999999</v>
      </c>
      <c r="N25" s="141">
        <v>291.9612247191011</v>
      </c>
    </row>
    <row r="26" spans="1:14" x14ac:dyDescent="0.25">
      <c r="A26" s="121"/>
      <c r="B26" s="195" t="s">
        <v>168</v>
      </c>
      <c r="C26" s="189">
        <v>9784.4596581599981</v>
      </c>
      <c r="D26" s="141">
        <v>652.29731054399986</v>
      </c>
      <c r="E26" s="189">
        <v>9809.2941264000001</v>
      </c>
      <c r="F26" s="141">
        <v>700.66386617142859</v>
      </c>
      <c r="G26" s="189">
        <v>13514.61268</v>
      </c>
      <c r="H26" s="141">
        <v>540.58463344000006</v>
      </c>
      <c r="I26" s="189">
        <v>16981.4196281</v>
      </c>
      <c r="J26" s="141">
        <v>585.56604537862063</v>
      </c>
      <c r="K26" s="189">
        <v>25369.16617964</v>
      </c>
      <c r="L26" s="141">
        <v>818.36019934322587</v>
      </c>
      <c r="M26" s="189">
        <v>7165.3040000000001</v>
      </c>
      <c r="N26" s="141">
        <v>223.91575</v>
      </c>
    </row>
    <row r="27" spans="1:14" x14ac:dyDescent="0.25">
      <c r="A27" s="121"/>
      <c r="B27" s="195" t="s">
        <v>293</v>
      </c>
      <c r="C27" s="189">
        <v>2277.7748086499996</v>
      </c>
      <c r="D27" s="141">
        <v>189.81456738749998</v>
      </c>
      <c r="E27" s="189">
        <v>2977.3916504000003</v>
      </c>
      <c r="F27" s="141">
        <v>248.11597086666669</v>
      </c>
      <c r="G27" s="189">
        <v>8699.0090400000008</v>
      </c>
      <c r="H27" s="141">
        <v>511.70641411764711</v>
      </c>
      <c r="I27" s="189">
        <v>11914.430681200001</v>
      </c>
      <c r="J27" s="141">
        <v>661.91269584111114</v>
      </c>
      <c r="K27" s="189">
        <v>9642.7469990900008</v>
      </c>
      <c r="L27" s="141">
        <v>344.38382139607148</v>
      </c>
      <c r="M27" s="189">
        <v>25755.564999999999</v>
      </c>
      <c r="N27" s="141">
        <v>888.12293103448269</v>
      </c>
    </row>
    <row r="28" spans="1:14" x14ac:dyDescent="0.25">
      <c r="A28" s="121"/>
      <c r="B28" s="195" t="s">
        <v>294</v>
      </c>
      <c r="C28" s="189">
        <v>861.56573732999993</v>
      </c>
      <c r="D28" s="141">
        <v>287.18857910999998</v>
      </c>
      <c r="E28" s="189">
        <v>950.17701920000002</v>
      </c>
      <c r="F28" s="141">
        <v>237.5442548</v>
      </c>
      <c r="G28" s="189">
        <v>27493.536080000002</v>
      </c>
      <c r="H28" s="141">
        <v>2749.3532924000001</v>
      </c>
      <c r="I28" s="189">
        <v>23813.8875257</v>
      </c>
      <c r="J28" s="141">
        <v>2381.3889681759997</v>
      </c>
      <c r="K28" s="189">
        <v>1424.51670573</v>
      </c>
      <c r="L28" s="141">
        <v>284.903341146</v>
      </c>
      <c r="M28" s="189">
        <v>18376.884999999998</v>
      </c>
      <c r="N28" s="141">
        <v>1312.6346428571428</v>
      </c>
    </row>
    <row r="29" spans="1:14" x14ac:dyDescent="0.25">
      <c r="A29" s="121"/>
      <c r="B29" s="195" t="s">
        <v>295</v>
      </c>
      <c r="C29" s="189">
        <v>2302.4980740599999</v>
      </c>
      <c r="D29" s="141">
        <v>287.81225925749999</v>
      </c>
      <c r="E29" s="189">
        <v>2695.2345786000001</v>
      </c>
      <c r="F29" s="141">
        <v>336.90432232500001</v>
      </c>
      <c r="G29" s="189">
        <v>2533.4853119999998</v>
      </c>
      <c r="H29" s="141">
        <v>281.49836799999997</v>
      </c>
      <c r="I29" s="189">
        <v>2501.7443338900002</v>
      </c>
      <c r="J29" s="141">
        <v>277.97159265444446</v>
      </c>
      <c r="K29" s="189">
        <v>30366.786679820001</v>
      </c>
      <c r="L29" s="141">
        <v>6073.3573359640004</v>
      </c>
      <c r="M29" s="189">
        <v>2222.2860000000001</v>
      </c>
      <c r="N29" s="141">
        <v>555.57150000000001</v>
      </c>
    </row>
    <row r="30" spans="1:14" x14ac:dyDescent="0.25">
      <c r="A30" s="121"/>
      <c r="B30" s="195" t="s">
        <v>296</v>
      </c>
      <c r="C30" s="189">
        <v>4566.2987608199992</v>
      </c>
      <c r="D30" s="141">
        <v>380.52489673499991</v>
      </c>
      <c r="E30" s="189">
        <v>5289.2176582000002</v>
      </c>
      <c r="F30" s="141">
        <v>377.80126130000002</v>
      </c>
      <c r="G30" s="189">
        <v>1036.6681520000002</v>
      </c>
      <c r="H30" s="141">
        <v>148.09545028571432</v>
      </c>
      <c r="I30" s="189">
        <v>1225.65219411</v>
      </c>
      <c r="J30" s="141">
        <v>175.09317058714288</v>
      </c>
      <c r="K30" s="189">
        <v>1402.4581646000001</v>
      </c>
      <c r="L30" s="141">
        <v>200.3511663714286</v>
      </c>
      <c r="M30" s="189">
        <v>1007.186</v>
      </c>
      <c r="N30" s="141">
        <v>201.43720000000002</v>
      </c>
    </row>
    <row r="31" spans="1:14" x14ac:dyDescent="0.25">
      <c r="B31" s="195" t="s">
        <v>297</v>
      </c>
      <c r="C31" s="189">
        <v>7287.1545360599994</v>
      </c>
      <c r="D31" s="141">
        <v>220.8228647290909</v>
      </c>
      <c r="E31" s="189">
        <v>10007.222154000001</v>
      </c>
      <c r="F31" s="141">
        <v>303.24915618181819</v>
      </c>
      <c r="G31" s="189">
        <v>18245.64604</v>
      </c>
      <c r="H31" s="141">
        <v>331.73911454545458</v>
      </c>
      <c r="I31" s="189">
        <v>22542.900936000002</v>
      </c>
      <c r="J31" s="141">
        <v>395.48945227964913</v>
      </c>
      <c r="K31" s="189">
        <v>19591.714142519999</v>
      </c>
      <c r="L31" s="141">
        <v>337.78817487103447</v>
      </c>
      <c r="M31" s="189">
        <v>25555.186000000002</v>
      </c>
      <c r="N31" s="141">
        <v>425.9197666666667</v>
      </c>
    </row>
    <row r="32" spans="1:14" x14ac:dyDescent="0.25">
      <c r="B32" s="88" t="s">
        <v>8</v>
      </c>
      <c r="C32" s="190">
        <f>SUM(C21:C31)</f>
        <v>117423.67910957999</v>
      </c>
      <c r="D32" s="501" t="s">
        <v>128</v>
      </c>
      <c r="E32" s="190">
        <f>SUM(E21:E31)</f>
        <v>124339.39791079998</v>
      </c>
      <c r="F32" s="501" t="s">
        <v>128</v>
      </c>
      <c r="G32" s="190">
        <f>SUM(G21:G31)</f>
        <v>153566.96660800002</v>
      </c>
      <c r="H32" s="501" t="s">
        <v>128</v>
      </c>
      <c r="I32" s="190">
        <f>SUM(I21:I31)</f>
        <v>174690.21652551999</v>
      </c>
      <c r="J32" s="501"/>
      <c r="K32" s="190">
        <f>SUM(K21:K31)</f>
        <v>196291.09434029003</v>
      </c>
      <c r="L32" s="501"/>
      <c r="M32" s="190">
        <f>SUM(M21:M31)</f>
        <v>186945.19099999999</v>
      </c>
      <c r="N32" s="501" t="s">
        <v>128</v>
      </c>
    </row>
    <row r="33" spans="3:13" x14ac:dyDescent="0.25">
      <c r="D33" s="136"/>
      <c r="L33"/>
    </row>
    <row r="34" spans="3:13" x14ac:dyDescent="0.25">
      <c r="D34" s="204"/>
      <c r="E34" s="204"/>
      <c r="F34" s="204"/>
      <c r="G34" s="204"/>
      <c r="H34" s="204"/>
      <c r="I34" s="204"/>
      <c r="J34" s="204"/>
      <c r="K34" s="204"/>
      <c r="L34" s="204"/>
      <c r="M34" s="204"/>
    </row>
    <row r="35" spans="3:13" x14ac:dyDescent="0.25">
      <c r="D35" s="136"/>
      <c r="H35" s="204"/>
      <c r="I35" s="204"/>
      <c r="J35" s="204"/>
      <c r="K35" s="204"/>
      <c r="L35" s="204"/>
      <c r="M35" s="204"/>
    </row>
    <row r="36" spans="3:13" x14ac:dyDescent="0.25">
      <c r="D36" s="136"/>
      <c r="H36" s="204"/>
      <c r="I36" s="204"/>
      <c r="J36" s="204"/>
      <c r="K36" s="204"/>
      <c r="L36" s="204"/>
      <c r="M36" s="204"/>
    </row>
    <row r="37" spans="3:13" x14ac:dyDescent="0.25">
      <c r="D37" s="136"/>
      <c r="H37" s="204"/>
      <c r="J37"/>
      <c r="L37"/>
    </row>
    <row r="38" spans="3:13" x14ac:dyDescent="0.25">
      <c r="D38" s="136"/>
      <c r="H38" s="204"/>
      <c r="J38"/>
      <c r="L38"/>
    </row>
    <row r="39" spans="3:13" x14ac:dyDescent="0.25">
      <c r="D39" s="136"/>
      <c r="H39" s="204"/>
      <c r="J39"/>
      <c r="L39"/>
    </row>
    <row r="40" spans="3:13" x14ac:dyDescent="0.25">
      <c r="D40" s="136"/>
      <c r="H40" s="204"/>
      <c r="J40"/>
      <c r="L40"/>
    </row>
    <row r="41" spans="3:13" x14ac:dyDescent="0.25">
      <c r="D41" s="136"/>
      <c r="H41" s="204"/>
      <c r="J41"/>
      <c r="L41"/>
    </row>
    <row r="42" spans="3:13" x14ac:dyDescent="0.25">
      <c r="D42" s="136"/>
      <c r="H42" s="204"/>
      <c r="J42"/>
      <c r="L42"/>
    </row>
    <row r="43" spans="3:13" x14ac:dyDescent="0.25">
      <c r="D43" s="204"/>
      <c r="E43" s="204"/>
      <c r="F43" s="204"/>
      <c r="G43" s="204"/>
      <c r="H43" s="204"/>
      <c r="I43" s="204"/>
      <c r="J43" s="204"/>
      <c r="K43" s="204"/>
      <c r="L43" s="204"/>
      <c r="M43" s="204"/>
    </row>
    <row r="44" spans="3:13" x14ac:dyDescent="0.25">
      <c r="C44" s="204"/>
      <c r="D44" s="204"/>
      <c r="E44" s="204"/>
      <c r="F44" s="204"/>
      <c r="G44" s="204"/>
      <c r="H44" s="204"/>
      <c r="I44" s="204"/>
      <c r="J44" s="204"/>
      <c r="K44" s="204"/>
      <c r="L44" s="204"/>
      <c r="M44" s="204"/>
    </row>
    <row r="45" spans="3:13" x14ac:dyDescent="0.25">
      <c r="C45" s="204"/>
      <c r="D45" s="204"/>
      <c r="E45" s="204"/>
      <c r="F45" s="204"/>
      <c r="G45" s="204"/>
      <c r="H45" s="204"/>
      <c r="I45" s="204"/>
      <c r="J45" s="204"/>
      <c r="K45" s="204"/>
      <c r="L45" s="204"/>
    </row>
    <row r="46" spans="3:13" x14ac:dyDescent="0.25">
      <c r="C46" s="204"/>
      <c r="D46" s="204"/>
      <c r="E46" s="204"/>
      <c r="F46" s="204"/>
      <c r="G46" s="204"/>
      <c r="H46" s="204"/>
      <c r="I46" s="204"/>
      <c r="J46" s="204"/>
      <c r="K46" s="204"/>
      <c r="L46" s="204"/>
    </row>
    <row r="47" spans="3:13" x14ac:dyDescent="0.25">
      <c r="C47" s="204"/>
      <c r="D47" s="204"/>
      <c r="E47" s="204"/>
      <c r="F47" s="204"/>
      <c r="G47" s="204"/>
      <c r="H47" s="204"/>
      <c r="I47" s="204"/>
      <c r="J47" s="204"/>
      <c r="K47" s="204"/>
      <c r="L47" s="204"/>
    </row>
    <row r="48" spans="3:13" x14ac:dyDescent="0.25">
      <c r="C48" s="204"/>
      <c r="D48" s="204"/>
      <c r="E48" s="204"/>
      <c r="F48" s="204"/>
      <c r="G48" s="204"/>
      <c r="H48" s="204"/>
      <c r="I48" s="204"/>
      <c r="J48" s="204"/>
      <c r="K48" s="204"/>
      <c r="L48" s="204"/>
    </row>
    <row r="49" spans="3:14" x14ac:dyDescent="0.25">
      <c r="C49" s="204"/>
      <c r="D49" s="204"/>
      <c r="E49" s="204"/>
      <c r="F49" s="204"/>
      <c r="G49" s="204"/>
      <c r="H49" s="204"/>
      <c r="I49" s="204"/>
      <c r="J49" s="204"/>
      <c r="K49" s="204"/>
      <c r="L49" s="204"/>
    </row>
    <row r="50" spans="3:14" x14ac:dyDescent="0.25">
      <c r="E50" s="204"/>
      <c r="F50" s="204"/>
      <c r="G50" s="204"/>
      <c r="H50" s="204"/>
      <c r="I50" s="204"/>
      <c r="J50" s="204"/>
      <c r="K50" s="204"/>
      <c r="L50" s="204"/>
      <c r="M50" s="204"/>
      <c r="N50" s="204"/>
    </row>
    <row r="51" spans="3:14" x14ac:dyDescent="0.25">
      <c r="E51" s="204"/>
      <c r="F51" s="204"/>
      <c r="G51" s="204"/>
      <c r="H51" s="204"/>
      <c r="I51" s="204"/>
      <c r="J51" s="204"/>
      <c r="K51" s="204"/>
      <c r="L51" s="204"/>
      <c r="M51" s="204"/>
      <c r="N51" s="204"/>
    </row>
  </sheetData>
  <sheetProtection password="C69F" sheet="1" objects="1" scenarios="1"/>
  <mergeCells count="8">
    <mergeCell ref="M19:N19"/>
    <mergeCell ref="B8:G8"/>
    <mergeCell ref="K19:L19"/>
    <mergeCell ref="C18:L18"/>
    <mergeCell ref="C19:D19"/>
    <mergeCell ref="E19:F19"/>
    <mergeCell ref="G19:H19"/>
    <mergeCell ref="I19:J19"/>
  </mergeCells>
  <hyperlinks>
    <hyperlink ref="A1" location="ÍNDICE!A1" display="ÍNDICE"/>
  </hyperlinks>
  <pageMargins left="0.7" right="0.7" top="0.75" bottom="0.75" header="0.3" footer="0.3"/>
  <ignoredErrors>
    <ignoredError sqref="H13:H14 F14:G14 C14:E14" formulaRange="1"/>
  </ignoredErrors>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R32"/>
  <sheetViews>
    <sheetView zoomScale="90" zoomScaleNormal="90" workbookViewId="0"/>
  </sheetViews>
  <sheetFormatPr baseColWidth="10" defaultRowHeight="15" x14ac:dyDescent="0.25"/>
  <cols>
    <col min="2" max="2" width="14" customWidth="1"/>
    <col min="3" max="3" width="14.7109375" customWidth="1"/>
    <col min="5" max="5" width="15.28515625" bestFit="1" customWidth="1"/>
    <col min="6" max="6" width="17" customWidth="1"/>
    <col min="7" max="7" width="15.140625" bestFit="1" customWidth="1"/>
    <col min="9" max="9" width="15.140625" bestFit="1" customWidth="1"/>
    <col min="10" max="10" width="10.85546875" bestFit="1" customWidth="1"/>
    <col min="11" max="11" width="15.140625" bestFit="1" customWidth="1"/>
    <col min="13" max="13" width="15.140625" bestFit="1" customWidth="1"/>
    <col min="14" max="14" width="11.7109375" customWidth="1"/>
    <col min="15" max="15" width="15.28515625" bestFit="1" customWidth="1"/>
    <col min="16" max="16" width="11" bestFit="1" customWidth="1"/>
    <col min="17" max="17" width="15.28515625" bestFit="1" customWidth="1"/>
    <col min="18" max="18" width="11" bestFit="1" customWidth="1"/>
  </cols>
  <sheetData>
    <row r="1" spans="1:18" s="54" customFormat="1" x14ac:dyDescent="0.25">
      <c r="A1" s="59" t="s">
        <v>132</v>
      </c>
    </row>
    <row r="2" spans="1:18" x14ac:dyDescent="0.25">
      <c r="A2" s="1" t="s">
        <v>429</v>
      </c>
    </row>
    <row r="3" spans="1:18" s="36" customFormat="1" x14ac:dyDescent="0.25">
      <c r="A3" s="1"/>
    </row>
    <row r="4" spans="1:18" s="37" customFormat="1" x14ac:dyDescent="0.25">
      <c r="A4" s="58" t="s">
        <v>103</v>
      </c>
      <c r="B4" s="37" t="s">
        <v>640</v>
      </c>
    </row>
    <row r="5" spans="1:18" s="23" customFormat="1" x14ac:dyDescent="0.25"/>
    <row r="6" spans="1:18" x14ac:dyDescent="0.25">
      <c r="B6" s="658" t="s">
        <v>576</v>
      </c>
      <c r="C6" s="644"/>
      <c r="D6" s="644"/>
      <c r="E6" s="644"/>
      <c r="F6" s="644"/>
      <c r="G6" s="644"/>
      <c r="H6" s="644"/>
      <c r="I6" s="644"/>
      <c r="J6" s="644"/>
      <c r="K6" s="644"/>
      <c r="L6" s="644"/>
      <c r="M6" s="644"/>
      <c r="N6" s="644"/>
      <c r="O6" s="113"/>
      <c r="P6" s="113"/>
      <c r="Q6" s="113"/>
      <c r="R6" s="246"/>
    </row>
    <row r="7" spans="1:18" x14ac:dyDescent="0.25">
      <c r="B7" s="92"/>
      <c r="C7" s="658" t="s">
        <v>279</v>
      </c>
      <c r="D7" s="644"/>
      <c r="E7" s="644"/>
      <c r="F7" s="659"/>
      <c r="G7" s="658" t="s">
        <v>278</v>
      </c>
      <c r="H7" s="644"/>
      <c r="I7" s="644"/>
      <c r="J7" s="659"/>
      <c r="K7" s="644">
        <v>2013</v>
      </c>
      <c r="L7" s="644"/>
      <c r="M7" s="644"/>
      <c r="N7" s="659"/>
      <c r="O7" s="702" t="s">
        <v>447</v>
      </c>
      <c r="P7" s="644"/>
      <c r="Q7" s="644"/>
      <c r="R7" s="659"/>
    </row>
    <row r="8" spans="1:18" s="21" customFormat="1" x14ac:dyDescent="0.25">
      <c r="B8" s="105"/>
      <c r="C8" s="660" t="s">
        <v>3</v>
      </c>
      <c r="D8" s="671"/>
      <c r="E8" s="660" t="s">
        <v>4</v>
      </c>
      <c r="F8" s="671"/>
      <c r="G8" s="660" t="s">
        <v>16</v>
      </c>
      <c r="H8" s="671"/>
      <c r="I8" s="714" t="s">
        <v>4</v>
      </c>
      <c r="J8" s="710"/>
      <c r="K8" s="660" t="s">
        <v>16</v>
      </c>
      <c r="L8" s="671"/>
      <c r="M8" s="714" t="s">
        <v>4</v>
      </c>
      <c r="N8" s="710"/>
      <c r="O8" s="660" t="s">
        <v>16</v>
      </c>
      <c r="P8" s="671"/>
      <c r="Q8" s="714" t="s">
        <v>4</v>
      </c>
      <c r="R8" s="710"/>
    </row>
    <row r="9" spans="1:18" ht="15.75" thickBot="1" x14ac:dyDescent="0.3">
      <c r="B9" s="93"/>
      <c r="C9" s="107" t="s">
        <v>15</v>
      </c>
      <c r="D9" s="108" t="s">
        <v>14</v>
      </c>
      <c r="E9" s="584" t="s">
        <v>15</v>
      </c>
      <c r="F9" s="583" t="s">
        <v>14</v>
      </c>
      <c r="G9" s="584" t="s">
        <v>15</v>
      </c>
      <c r="H9" s="583" t="s">
        <v>14</v>
      </c>
      <c r="I9" s="584" t="s">
        <v>15</v>
      </c>
      <c r="J9" s="108" t="s">
        <v>14</v>
      </c>
      <c r="K9" s="107" t="s">
        <v>15</v>
      </c>
      <c r="L9" s="108" t="s">
        <v>14</v>
      </c>
      <c r="M9" s="79" t="s">
        <v>15</v>
      </c>
      <c r="N9" s="108" t="s">
        <v>14</v>
      </c>
      <c r="O9" s="494" t="s">
        <v>15</v>
      </c>
      <c r="P9" s="493" t="s">
        <v>14</v>
      </c>
      <c r="Q9" s="492" t="s">
        <v>15</v>
      </c>
      <c r="R9" s="493" t="s">
        <v>14</v>
      </c>
    </row>
    <row r="10" spans="1:18" ht="15.75" thickTop="1" x14ac:dyDescent="0.25">
      <c r="B10" s="106" t="s">
        <v>5</v>
      </c>
      <c r="C10" s="197">
        <v>183.00000000000006</v>
      </c>
      <c r="D10" s="503">
        <f>4513.26623970723*'ANEXO 1'!F12</f>
        <v>0</v>
      </c>
      <c r="E10" s="189">
        <v>20.907593778591014</v>
      </c>
      <c r="F10" s="503">
        <f>53.9798719121683*'ANEXO 1'!$F$6</f>
        <v>61.677401646843499</v>
      </c>
      <c r="G10" s="189">
        <v>214.55936893203875</v>
      </c>
      <c r="H10" s="192">
        <f>6559.22330097087*'ANEXO 1'!H6</f>
        <v>7071.0394951456274</v>
      </c>
      <c r="I10" s="161">
        <v>0</v>
      </c>
      <c r="J10" s="499">
        <v>0</v>
      </c>
      <c r="K10" s="197">
        <f>L10/61</f>
        <v>275.93592012885244</v>
      </c>
      <c r="L10" s="499">
        <f>16084.638*'ANEXO 1'!I6</f>
        <v>16832.09112786</v>
      </c>
      <c r="M10" s="161">
        <v>68.289911377999999</v>
      </c>
      <c r="N10" s="499">
        <v>341.44955689</v>
      </c>
      <c r="O10" s="197">
        <f>P10/56</f>
        <v>237.45664285714287</v>
      </c>
      <c r="P10" s="499">
        <f>13297572/1000</f>
        <v>13297.572</v>
      </c>
      <c r="Q10" s="161">
        <v>22.974625</v>
      </c>
      <c r="R10" s="499">
        <v>183.797</v>
      </c>
    </row>
    <row r="11" spans="1:18" x14ac:dyDescent="0.25">
      <c r="B11" s="94" t="s">
        <v>51</v>
      </c>
      <c r="C11" s="189">
        <v>90.999999999999773</v>
      </c>
      <c r="D11" s="179">
        <f>1655.99268069533*'ANEXO 1'!F12</f>
        <v>0</v>
      </c>
      <c r="E11" s="189">
        <v>17.771454711802395</v>
      </c>
      <c r="F11" s="179">
        <f>200.365965233303*'ANEXO 1'!F6</f>
        <v>228.93815187557203</v>
      </c>
      <c r="G11" s="189">
        <v>52.331553398058247</v>
      </c>
      <c r="H11" s="192">
        <f>778.640776699029*'ANEXO 1'!H6</f>
        <v>839.39811650485422</v>
      </c>
      <c r="I11" s="162">
        <v>68.03101941747569</v>
      </c>
      <c r="J11" s="192">
        <f>814.563106796116*'ANEXO 1'!H6</f>
        <v>878.12346601941704</v>
      </c>
      <c r="K11" s="189">
        <f>L11/37</f>
        <v>35.026425652972975</v>
      </c>
      <c r="L11" s="192">
        <f>1238.428*'ANEXO 1'!I6</f>
        <v>1295.97774916</v>
      </c>
      <c r="M11" s="162">
        <v>41.237127055333332</v>
      </c>
      <c r="N11" s="192">
        <v>618.55690583000001</v>
      </c>
      <c r="O11" s="189">
        <f>P11/ 33</f>
        <v>29.642363636363637</v>
      </c>
      <c r="P11" s="192">
        <f>978198/1000</f>
        <v>978.19799999999998</v>
      </c>
      <c r="Q11" s="162">
        <v>106.74326666666666</v>
      </c>
      <c r="R11" s="192">
        <v>1601.1489999999999</v>
      </c>
    </row>
    <row r="12" spans="1:18" x14ac:dyDescent="0.25">
      <c r="B12" s="94" t="s">
        <v>6</v>
      </c>
      <c r="C12" s="189">
        <v>112.90100640439162</v>
      </c>
      <c r="D12" s="179">
        <f>1380.60384263495*'ANEXO 1'!F6</f>
        <v>1577.477950594694</v>
      </c>
      <c r="E12" s="189">
        <v>212.21207685269897</v>
      </c>
      <c r="F12" s="179">
        <f>929.551692589204*'ANEXO 1'!F6</f>
        <v>1062.1057639524245</v>
      </c>
      <c r="G12" s="189">
        <v>85.823747572815734</v>
      </c>
      <c r="H12" s="192">
        <f>1118.44660194175*'ANEXO 1'!H6</f>
        <v>1205.7189902912648</v>
      </c>
      <c r="I12" s="162">
        <v>81.637223300970859</v>
      </c>
      <c r="J12" s="192">
        <f>303.883495145631*'ANEXO 1'!H6</f>
        <v>327.59552427184462</v>
      </c>
      <c r="K12" s="189">
        <f>L12/ 22</f>
        <v>75.862415645454547</v>
      </c>
      <c r="L12" s="192">
        <f>1594.86*'ANEXO 1'!I6</f>
        <v>1668.9731442</v>
      </c>
      <c r="M12" s="162">
        <v>60.083075049999998</v>
      </c>
      <c r="N12" s="192">
        <v>60.083075049999998</v>
      </c>
      <c r="O12" s="189">
        <f>P12/16</f>
        <v>171.69137499999999</v>
      </c>
      <c r="P12" s="192">
        <f xml:space="preserve"> 2747062/1000</f>
        <v>2747.0619999999999</v>
      </c>
      <c r="Q12" s="162">
        <v>88.031399999999991</v>
      </c>
      <c r="R12" s="192">
        <v>440.15699999999998</v>
      </c>
    </row>
    <row r="13" spans="1:18" x14ac:dyDescent="0.25">
      <c r="B13" s="95" t="s">
        <v>7</v>
      </c>
      <c r="C13" s="193">
        <v>154.71619396157323</v>
      </c>
      <c r="D13" s="164">
        <f>14747.483989021*'ANEXO 1'!F6</f>
        <v>16850.475205855397</v>
      </c>
      <c r="E13" s="189">
        <v>187.12296431838999</v>
      </c>
      <c r="F13" s="164">
        <f>4262.58005489479*'ANEXO 1'!F6</f>
        <v>4870.4239707227871</v>
      </c>
      <c r="G13" s="193">
        <v>585.06676699029322</v>
      </c>
      <c r="H13" s="500">
        <f>108530.097087379*'ANEXO 1'!H6</f>
        <v>116998.7005631072</v>
      </c>
      <c r="I13" s="162">
        <v>105.70973786407781</v>
      </c>
      <c r="J13" s="192">
        <f>2940.77669902913*'ANEXO 1'!H6</f>
        <v>3170.2455048543734</v>
      </c>
      <c r="K13" s="193">
        <f>L13/240</f>
        <v>356.94439400366667</v>
      </c>
      <c r="L13" s="500">
        <f>81862.504*'ANEXO 1'!I6</f>
        <v>85666.654560880008</v>
      </c>
      <c r="M13" s="163">
        <v>119.0087780634091</v>
      </c>
      <c r="N13" s="500">
        <v>5236.3862347900003</v>
      </c>
      <c r="O13" s="193">
        <f>P13/194</f>
        <v>464.50995360824743</v>
      </c>
      <c r="P13" s="500">
        <f>90114931/1000</f>
        <v>90114.930999999997</v>
      </c>
      <c r="Q13" s="163">
        <v>204.08428947368421</v>
      </c>
      <c r="R13" s="500">
        <v>7755.2030000000004</v>
      </c>
    </row>
    <row r="14" spans="1:18" x14ac:dyDescent="0.25">
      <c r="B14" s="88" t="s">
        <v>8</v>
      </c>
      <c r="C14" s="502" t="s">
        <v>128</v>
      </c>
      <c r="D14" s="500">
        <f>SUM(D10:D13)</f>
        <v>18427.95315645009</v>
      </c>
      <c r="E14" s="504" t="s">
        <v>128</v>
      </c>
      <c r="F14" s="500">
        <f>SUM(F10:F13)</f>
        <v>6223.1452881976275</v>
      </c>
      <c r="G14" s="502" t="s">
        <v>128</v>
      </c>
      <c r="H14" s="500">
        <f>SUM(H10:H13)</f>
        <v>126114.85716504895</v>
      </c>
      <c r="I14" s="505" t="s">
        <v>128</v>
      </c>
      <c r="J14" s="501">
        <f>SUM(J10:J13)</f>
        <v>4375.9644951456348</v>
      </c>
      <c r="K14" s="504" t="s">
        <v>128</v>
      </c>
      <c r="L14" s="501">
        <f>SUM(L10:L13)</f>
        <v>105463.6965821</v>
      </c>
      <c r="M14" s="505" t="s">
        <v>128</v>
      </c>
      <c r="N14" s="501">
        <f>SUM(N10:N13)</f>
        <v>6256.4757725600002</v>
      </c>
      <c r="O14" s="504" t="s">
        <v>128</v>
      </c>
      <c r="P14" s="501">
        <f>SUM(P10:P13)</f>
        <v>107137.76300000001</v>
      </c>
      <c r="Q14" s="505" t="s">
        <v>128</v>
      </c>
      <c r="R14" s="501">
        <f>SUM(R10:R13)</f>
        <v>9980.3060000000005</v>
      </c>
    </row>
    <row r="15" spans="1:18" x14ac:dyDescent="0.25">
      <c r="B15" s="14" t="s">
        <v>369</v>
      </c>
      <c r="O15" s="85"/>
    </row>
    <row r="16" spans="1:18" s="64" customFormat="1" x14ac:dyDescent="0.25">
      <c r="B16" s="14"/>
    </row>
    <row r="17" spans="2:14" s="64" customFormat="1" x14ac:dyDescent="0.25">
      <c r="B17" s="14"/>
    </row>
    <row r="18" spans="2:14" s="64" customFormat="1" x14ac:dyDescent="0.25">
      <c r="B18" s="715" t="s">
        <v>577</v>
      </c>
      <c r="C18" s="715"/>
      <c r="D18" s="715"/>
      <c r="E18" s="715"/>
      <c r="F18" s="715"/>
      <c r="G18" s="715"/>
    </row>
    <row r="19" spans="2:14" ht="22.5" customHeight="1" x14ac:dyDescent="0.25">
      <c r="B19" s="716"/>
      <c r="C19" s="716"/>
      <c r="D19" s="716"/>
      <c r="E19" s="716"/>
      <c r="F19" s="716"/>
      <c r="G19" s="716"/>
      <c r="I19" s="104"/>
      <c r="J19" s="104"/>
    </row>
    <row r="20" spans="2:14" x14ac:dyDescent="0.25">
      <c r="B20" s="15"/>
      <c r="C20" s="644" t="s">
        <v>641</v>
      </c>
      <c r="D20" s="644"/>
      <c r="E20" s="644"/>
      <c r="F20" s="644"/>
      <c r="G20" s="644"/>
      <c r="H20" s="644"/>
      <c r="I20" s="104"/>
      <c r="J20" s="104"/>
    </row>
    <row r="21" spans="2:14" ht="15.75" thickBot="1" x14ac:dyDescent="0.3">
      <c r="B21" s="7"/>
      <c r="C21" s="12" t="s">
        <v>17</v>
      </c>
      <c r="D21" s="12" t="s">
        <v>18</v>
      </c>
      <c r="E21" s="12" t="s">
        <v>19</v>
      </c>
      <c r="F21" s="12" t="s">
        <v>20</v>
      </c>
      <c r="G21" s="12" t="s">
        <v>21</v>
      </c>
      <c r="H21" s="52" t="s">
        <v>8</v>
      </c>
      <c r="I21" s="104"/>
      <c r="J21" s="104"/>
    </row>
    <row r="22" spans="2:14" ht="15.75" thickTop="1" x14ac:dyDescent="0.25">
      <c r="B22" s="10" t="s">
        <v>5</v>
      </c>
      <c r="C22" s="167">
        <f>57415/1000</f>
        <v>57.414999999999999</v>
      </c>
      <c r="D22" s="167">
        <f>0</f>
        <v>0</v>
      </c>
      <c r="E22" s="167">
        <f>17431/1000</f>
        <v>17.431000000000001</v>
      </c>
      <c r="F22" s="167">
        <v>0</v>
      </c>
      <c r="G22" s="167">
        <f>1000/1000</f>
        <v>1</v>
      </c>
      <c r="H22" s="50">
        <f>SUM(C22:G22)</f>
        <v>75.846000000000004</v>
      </c>
      <c r="I22" s="104"/>
      <c r="J22" s="104"/>
    </row>
    <row r="23" spans="2:14" x14ac:dyDescent="0.25">
      <c r="B23" s="10" t="s">
        <v>51</v>
      </c>
      <c r="C23" s="167">
        <f>283197/1000</f>
        <v>283.197</v>
      </c>
      <c r="D23" s="167">
        <v>0</v>
      </c>
      <c r="E23" s="167">
        <f>684561/1000</f>
        <v>684.56100000000004</v>
      </c>
      <c r="F23" s="167">
        <v>5</v>
      </c>
      <c r="G23" s="167">
        <f>1000/1000</f>
        <v>1</v>
      </c>
      <c r="H23" s="50">
        <f t="shared" ref="H23:H25" si="0">SUM(C23:G23)</f>
        <v>973.75800000000004</v>
      </c>
      <c r="I23" s="104"/>
      <c r="J23" s="104"/>
    </row>
    <row r="24" spans="2:14" x14ac:dyDescent="0.25">
      <c r="B24" s="10" t="s">
        <v>6</v>
      </c>
      <c r="C24" s="167">
        <f>331554/1000</f>
        <v>331.55399999999997</v>
      </c>
      <c r="D24" s="167">
        <v>0</v>
      </c>
      <c r="E24" s="167">
        <f>74803/1000</f>
        <v>74.802999999999997</v>
      </c>
      <c r="F24" s="167">
        <v>0</v>
      </c>
      <c r="G24" s="167">
        <f>33800/1000</f>
        <v>33.799999999999997</v>
      </c>
      <c r="H24" s="50">
        <f t="shared" si="0"/>
        <v>440.15699999999998</v>
      </c>
      <c r="I24" s="104"/>
      <c r="J24" s="104"/>
    </row>
    <row r="25" spans="2:14" x14ac:dyDescent="0.25">
      <c r="B25" s="10" t="s">
        <v>7</v>
      </c>
      <c r="C25" s="167">
        <f>3643645/1000</f>
        <v>3643.645</v>
      </c>
      <c r="D25" s="167">
        <f>203231/1000</f>
        <v>203.23099999999999</v>
      </c>
      <c r="E25" s="167">
        <f xml:space="preserve"> 2541194/1000</f>
        <v>2541.194</v>
      </c>
      <c r="F25" s="167">
        <f>17410/1000</f>
        <v>17.41</v>
      </c>
      <c r="G25" s="167">
        <f>562861/1000</f>
        <v>562.86099999999999</v>
      </c>
      <c r="H25" s="50">
        <f t="shared" si="0"/>
        <v>6968.3409999999994</v>
      </c>
      <c r="I25" s="104"/>
      <c r="J25" s="104"/>
    </row>
    <row r="26" spans="2:14" x14ac:dyDescent="0.25">
      <c r="B26" s="17" t="s">
        <v>8</v>
      </c>
      <c r="C26" s="168">
        <f t="shared" ref="C26:H26" si="1">SUM(C22:C25)</f>
        <v>4315.8109999999997</v>
      </c>
      <c r="D26" s="168">
        <f t="shared" si="1"/>
        <v>203.23099999999999</v>
      </c>
      <c r="E26" s="168">
        <f t="shared" si="1"/>
        <v>3317.989</v>
      </c>
      <c r="F26" s="168">
        <f t="shared" si="1"/>
        <v>22.41</v>
      </c>
      <c r="G26" s="168">
        <f t="shared" si="1"/>
        <v>598.66099999999994</v>
      </c>
      <c r="H26" s="168">
        <f t="shared" si="1"/>
        <v>8458.101999999999</v>
      </c>
      <c r="I26" s="497"/>
      <c r="J26" s="104"/>
    </row>
    <row r="31" spans="2:14" x14ac:dyDescent="0.25">
      <c r="J31" s="204"/>
      <c r="N31" s="204"/>
    </row>
    <row r="32" spans="2:14" x14ac:dyDescent="0.25">
      <c r="J32" s="204"/>
      <c r="N32" s="204"/>
    </row>
  </sheetData>
  <sheetProtection password="C69F" sheet="1" objects="1" scenarios="1"/>
  <mergeCells count="15">
    <mergeCell ref="B6:N6"/>
    <mergeCell ref="M8:N8"/>
    <mergeCell ref="C7:F7"/>
    <mergeCell ref="G7:J7"/>
    <mergeCell ref="K7:N7"/>
    <mergeCell ref="C8:D8"/>
    <mergeCell ref="E8:F8"/>
    <mergeCell ref="G8:H8"/>
    <mergeCell ref="I8:J8"/>
    <mergeCell ref="K8:L8"/>
    <mergeCell ref="O7:R7"/>
    <mergeCell ref="O8:P8"/>
    <mergeCell ref="Q8:R8"/>
    <mergeCell ref="B18:G19"/>
    <mergeCell ref="C20:H20"/>
  </mergeCells>
  <hyperlinks>
    <hyperlink ref="A1" location="ÍNDICE!A1" display="ÍNDICE"/>
  </hyperlinks>
  <pageMargins left="0.7" right="0.7" top="0.75" bottom="0.75" header="0.3" footer="0.3"/>
  <pageSetup orientation="portrait" r:id="rId1"/>
  <ignoredErrors>
    <ignoredError sqref="L10:L13 P10:P13" 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M31"/>
  <sheetViews>
    <sheetView zoomScale="90" zoomScaleNormal="90" workbookViewId="0"/>
  </sheetViews>
  <sheetFormatPr baseColWidth="10" defaultRowHeight="15" x14ac:dyDescent="0.25"/>
  <cols>
    <col min="2" max="2" width="5.42578125" style="64" customWidth="1"/>
    <col min="3" max="3" width="57.7109375" customWidth="1"/>
    <col min="4" max="4" width="23.5703125" bestFit="1" customWidth="1"/>
    <col min="5" max="5" width="15.42578125" style="121" customWidth="1"/>
    <col min="6" max="6" width="23.5703125" style="112" bestFit="1" customWidth="1"/>
    <col min="7" max="7" width="19.140625" style="121" customWidth="1"/>
    <col min="8" max="8" width="23.5703125" style="112" customWidth="1"/>
    <col min="9" max="9" width="14" customWidth="1"/>
  </cols>
  <sheetData>
    <row r="1" spans="1:13" s="54" customFormat="1" x14ac:dyDescent="0.25">
      <c r="A1" s="59" t="s">
        <v>132</v>
      </c>
      <c r="B1" s="59"/>
      <c r="E1" s="121"/>
      <c r="F1" s="112"/>
      <c r="G1" s="121"/>
      <c r="H1" s="112"/>
    </row>
    <row r="2" spans="1:13" x14ac:dyDescent="0.25">
      <c r="A2" s="1" t="s">
        <v>290</v>
      </c>
      <c r="B2" s="1"/>
    </row>
    <row r="3" spans="1:13" s="36" customFormat="1" x14ac:dyDescent="0.25">
      <c r="A3" s="1"/>
      <c r="B3" s="1"/>
      <c r="E3" s="121"/>
      <c r="F3" s="112"/>
      <c r="G3" s="121"/>
      <c r="H3" s="112"/>
    </row>
    <row r="4" spans="1:13" s="37" customFormat="1" x14ac:dyDescent="0.25">
      <c r="A4" s="58" t="s">
        <v>103</v>
      </c>
      <c r="B4" s="37" t="s">
        <v>578</v>
      </c>
      <c r="E4" s="121"/>
      <c r="F4" s="112"/>
      <c r="G4" s="121"/>
      <c r="H4" s="112"/>
    </row>
    <row r="6" spans="1:13" ht="15" customHeight="1" x14ac:dyDescent="0.25">
      <c r="B6" s="125"/>
      <c r="C6" s="690" t="s">
        <v>674</v>
      </c>
      <c r="D6" s="655" t="s">
        <v>371</v>
      </c>
      <c r="E6" s="649"/>
      <c r="F6" s="646" t="s">
        <v>370</v>
      </c>
      <c r="G6" s="649"/>
      <c r="H6" s="655" t="s">
        <v>8</v>
      </c>
      <c r="I6" s="649"/>
      <c r="J6" s="103"/>
      <c r="K6" s="103"/>
      <c r="L6" s="103"/>
      <c r="M6" s="103"/>
    </row>
    <row r="7" spans="1:13" s="54" customFormat="1" ht="28.5" customHeight="1" thickBot="1" x14ac:dyDescent="0.3">
      <c r="B7" s="126"/>
      <c r="C7" s="691"/>
      <c r="D7" s="131" t="s">
        <v>603</v>
      </c>
      <c r="E7" s="108" t="s">
        <v>9</v>
      </c>
      <c r="F7" s="122" t="s">
        <v>603</v>
      </c>
      <c r="G7" s="108" t="s">
        <v>9</v>
      </c>
      <c r="H7" s="131" t="s">
        <v>603</v>
      </c>
      <c r="I7" s="108" t="s">
        <v>9</v>
      </c>
      <c r="J7" s="103"/>
      <c r="K7" s="103"/>
      <c r="L7" s="103"/>
      <c r="M7" s="103"/>
    </row>
    <row r="8" spans="1:13" ht="15.75" thickTop="1" x14ac:dyDescent="0.25">
      <c r="B8" s="198" t="s">
        <v>105</v>
      </c>
      <c r="C8" s="598" t="s">
        <v>22</v>
      </c>
      <c r="D8" s="189">
        <f>(4440849+188428)/1000</f>
        <v>4629.277</v>
      </c>
      <c r="E8" s="602">
        <f>D8/$D$27</f>
        <v>4.3208639702510876E-2</v>
      </c>
      <c r="F8" s="162">
        <v>55.860999999999997</v>
      </c>
      <c r="G8" s="637">
        <f>F8/$F$27</f>
        <v>5.5971229739849642E-3</v>
      </c>
      <c r="H8" s="189">
        <f>SUM(D8+F8)</f>
        <v>4685.1379999999999</v>
      </c>
      <c r="I8" s="629">
        <f>H8/$H$27</f>
        <v>4.0003545481952923E-2</v>
      </c>
      <c r="J8" s="16"/>
    </row>
    <row r="9" spans="1:13" x14ac:dyDescent="0.25">
      <c r="B9" s="195" t="s">
        <v>106</v>
      </c>
      <c r="C9" s="598" t="s">
        <v>23</v>
      </c>
      <c r="D9" s="189">
        <f>36303547/1000</f>
        <v>36303.546999999999</v>
      </c>
      <c r="E9" s="602">
        <f>D9/$D$27</f>
        <v>0.33884921603225931</v>
      </c>
      <c r="F9" s="162">
        <v>1616.825</v>
      </c>
      <c r="G9" s="637">
        <f>F9/$F$27</f>
        <v>0.16200154584438589</v>
      </c>
      <c r="H9" s="189">
        <f t="shared" ref="H9:H26" si="0">SUM(D9+F9)</f>
        <v>37920.371999999996</v>
      </c>
      <c r="I9" s="629">
        <f t="shared" ref="I9:I26" si="1">H9/$H$27</f>
        <v>0.32377900629492107</v>
      </c>
    </row>
    <row r="10" spans="1:13" x14ac:dyDescent="0.25">
      <c r="B10" s="195" t="s">
        <v>107</v>
      </c>
      <c r="C10" s="598" t="s">
        <v>24</v>
      </c>
      <c r="D10" s="189">
        <f>(7241778+3366153+1302161)/1000</f>
        <v>11910.092000000001</v>
      </c>
      <c r="E10" s="602">
        <f t="shared" ref="E10:E25" si="2">D10/$D$27</f>
        <v>0.11116614409804321</v>
      </c>
      <c r="F10" s="162">
        <v>1092.6849999999999</v>
      </c>
      <c r="G10" s="637">
        <f>F10/$F$27</f>
        <v>0.10948411802203256</v>
      </c>
      <c r="H10" s="189">
        <f t="shared" si="0"/>
        <v>13002.777</v>
      </c>
      <c r="I10" s="629">
        <f t="shared" si="1"/>
        <v>0.1110228089570022</v>
      </c>
    </row>
    <row r="11" spans="1:13" x14ac:dyDescent="0.25">
      <c r="B11" s="195" t="s">
        <v>108</v>
      </c>
      <c r="C11" s="598" t="s">
        <v>25</v>
      </c>
      <c r="D11" s="189">
        <f xml:space="preserve"> 740540/1000</f>
        <v>740.54</v>
      </c>
      <c r="E11" s="602">
        <f t="shared" si="2"/>
        <v>6.9120353016890977E-3</v>
      </c>
      <c r="F11" s="162">
        <v>0</v>
      </c>
      <c r="G11" s="637">
        <f t="shared" ref="G11:G26" si="3">F11/$F$27</f>
        <v>0</v>
      </c>
      <c r="H11" s="189">
        <f t="shared" si="0"/>
        <v>740.54</v>
      </c>
      <c r="I11" s="629">
        <f t="shared" si="1"/>
        <v>6.3230209166102291E-3</v>
      </c>
    </row>
    <row r="12" spans="1:13" x14ac:dyDescent="0.25">
      <c r="B12" s="195" t="s">
        <v>109</v>
      </c>
      <c r="C12" s="598" t="s">
        <v>26</v>
      </c>
      <c r="D12" s="189">
        <f>566242/1000</f>
        <v>566.24199999999996</v>
      </c>
      <c r="E12" s="602">
        <f t="shared" si="2"/>
        <v>5.2851766188174009E-3</v>
      </c>
      <c r="F12" s="162">
        <v>0</v>
      </c>
      <c r="G12" s="637">
        <f t="shared" si="3"/>
        <v>0</v>
      </c>
      <c r="H12" s="189">
        <f t="shared" si="0"/>
        <v>566.24199999999996</v>
      </c>
      <c r="I12" s="629">
        <f t="shared" si="1"/>
        <v>4.8347962430972113E-3</v>
      </c>
    </row>
    <row r="13" spans="1:13" x14ac:dyDescent="0.25">
      <c r="B13" s="195" t="s">
        <v>110</v>
      </c>
      <c r="C13" s="598" t="s">
        <v>27</v>
      </c>
      <c r="D13" s="189">
        <f>104818/1000</f>
        <v>104.818</v>
      </c>
      <c r="E13" s="602">
        <f t="shared" si="2"/>
        <v>9.7834784920793993E-4</v>
      </c>
      <c r="F13" s="162">
        <v>0</v>
      </c>
      <c r="G13" s="637">
        <f t="shared" si="3"/>
        <v>0</v>
      </c>
      <c r="H13" s="189">
        <f t="shared" si="0"/>
        <v>104.818</v>
      </c>
      <c r="I13" s="629">
        <f t="shared" si="1"/>
        <v>8.9497718750810359E-4</v>
      </c>
    </row>
    <row r="14" spans="1:13" x14ac:dyDescent="0.25">
      <c r="B14" s="195" t="s">
        <v>111</v>
      </c>
      <c r="C14" s="598" t="s">
        <v>28</v>
      </c>
      <c r="D14" s="189">
        <f>(0+4706452+295500)/1000</f>
        <v>5001.9520000000002</v>
      </c>
      <c r="E14" s="602">
        <f t="shared" si="2"/>
        <v>4.6687105087307085E-2</v>
      </c>
      <c r="F14" s="162">
        <v>12</v>
      </c>
      <c r="G14" s="637">
        <f t="shared" si="3"/>
        <v>1.2023679434277864E-3</v>
      </c>
      <c r="H14" s="189">
        <f t="shared" si="0"/>
        <v>5013.9520000000002</v>
      </c>
      <c r="I14" s="629">
        <f t="shared" si="1"/>
        <v>4.2811088355631965E-2</v>
      </c>
    </row>
    <row r="15" spans="1:13" x14ac:dyDescent="0.25">
      <c r="B15" s="195" t="s">
        <v>112</v>
      </c>
      <c r="C15" s="598" t="s">
        <v>29</v>
      </c>
      <c r="D15" s="189">
        <f>311626/1000</f>
        <v>311.62599999999998</v>
      </c>
      <c r="E15" s="602">
        <f t="shared" si="2"/>
        <v>2.9086476259542584E-3</v>
      </c>
      <c r="F15" s="162">
        <v>0</v>
      </c>
      <c r="G15" s="637">
        <f t="shared" si="3"/>
        <v>0</v>
      </c>
      <c r="H15" s="189">
        <f t="shared" si="0"/>
        <v>311.62599999999998</v>
      </c>
      <c r="I15" s="629">
        <f t="shared" si="1"/>
        <v>2.660784989547599E-3</v>
      </c>
    </row>
    <row r="16" spans="1:13" x14ac:dyDescent="0.25">
      <c r="B16" s="195" t="s">
        <v>76</v>
      </c>
      <c r="C16" s="598" t="s">
        <v>30</v>
      </c>
      <c r="D16" s="189">
        <v>0</v>
      </c>
      <c r="E16" s="602">
        <f t="shared" si="2"/>
        <v>0</v>
      </c>
      <c r="F16" s="162">
        <v>0</v>
      </c>
      <c r="G16" s="637">
        <f t="shared" si="3"/>
        <v>0</v>
      </c>
      <c r="H16" s="189">
        <f t="shared" si="0"/>
        <v>0</v>
      </c>
      <c r="I16" s="629">
        <f t="shared" si="1"/>
        <v>0</v>
      </c>
    </row>
    <row r="17" spans="2:9" x14ac:dyDescent="0.25">
      <c r="B17" s="195" t="s">
        <v>113</v>
      </c>
      <c r="C17" s="598" t="s">
        <v>606</v>
      </c>
      <c r="D17" s="189">
        <f>(439114+593039)/1000</f>
        <v>1032.153</v>
      </c>
      <c r="E17" s="602">
        <f t="shared" si="2"/>
        <v>9.6338860463233682E-3</v>
      </c>
      <c r="F17" s="162">
        <v>101.393</v>
      </c>
      <c r="G17" s="637">
        <f t="shared" si="3"/>
        <v>1.0159307740664463E-2</v>
      </c>
      <c r="H17" s="189">
        <f t="shared" si="0"/>
        <v>1133.546</v>
      </c>
      <c r="I17" s="629">
        <f t="shared" si="1"/>
        <v>9.678660258648903E-3</v>
      </c>
    </row>
    <row r="18" spans="2:9" x14ac:dyDescent="0.25">
      <c r="B18" s="195" t="s">
        <v>114</v>
      </c>
      <c r="C18" s="598" t="s">
        <v>32</v>
      </c>
      <c r="D18" s="189">
        <f xml:space="preserve"> 21185411/1000</f>
        <v>21185.411</v>
      </c>
      <c r="E18" s="602">
        <f t="shared" si="2"/>
        <v>0.19773990427632882</v>
      </c>
      <c r="F18" s="162">
        <v>43.5</v>
      </c>
      <c r="G18" s="637">
        <f t="shared" si="3"/>
        <v>4.358583794925726E-3</v>
      </c>
      <c r="H18" s="189">
        <f t="shared" si="0"/>
        <v>21228.911</v>
      </c>
      <c r="I18" s="629">
        <f t="shared" si="1"/>
        <v>0.18126076685912573</v>
      </c>
    </row>
    <row r="19" spans="2:9" x14ac:dyDescent="0.25">
      <c r="B19" s="195" t="s">
        <v>115</v>
      </c>
      <c r="C19" s="598" t="s">
        <v>33</v>
      </c>
      <c r="D19" s="189">
        <v>0</v>
      </c>
      <c r="E19" s="602">
        <f t="shared" si="2"/>
        <v>0</v>
      </c>
      <c r="F19" s="162">
        <v>0</v>
      </c>
      <c r="G19" s="637">
        <f t="shared" si="3"/>
        <v>0</v>
      </c>
      <c r="H19" s="189">
        <f t="shared" si="0"/>
        <v>0</v>
      </c>
      <c r="I19" s="629">
        <f t="shared" si="1"/>
        <v>0</v>
      </c>
    </row>
    <row r="20" spans="2:9" x14ac:dyDescent="0.25">
      <c r="B20" s="195" t="s">
        <v>116</v>
      </c>
      <c r="C20" s="598" t="s">
        <v>608</v>
      </c>
      <c r="D20" s="189">
        <f>(590749+ 773865+3326439+ 6562988)/1000</f>
        <v>11254.040999999999</v>
      </c>
      <c r="E20" s="602">
        <f t="shared" si="2"/>
        <v>0.10504271029067501</v>
      </c>
      <c r="F20" s="162">
        <v>6564.9359999999997</v>
      </c>
      <c r="G20" s="637">
        <f t="shared" si="3"/>
        <v>0.65778904975458652</v>
      </c>
      <c r="H20" s="189">
        <f t="shared" si="0"/>
        <v>17818.976999999999</v>
      </c>
      <c r="I20" s="629">
        <f t="shared" si="1"/>
        <v>0.15214541318982983</v>
      </c>
    </row>
    <row r="21" spans="2:9" x14ac:dyDescent="0.25">
      <c r="B21" s="195" t="s">
        <v>117</v>
      </c>
      <c r="C21" s="598" t="s">
        <v>35</v>
      </c>
      <c r="D21" s="189">
        <f>42000/1000</f>
        <v>42</v>
      </c>
      <c r="E21" s="602">
        <f t="shared" si="2"/>
        <v>3.9201863865684784E-4</v>
      </c>
      <c r="F21" s="162">
        <v>34.700000000000003</v>
      </c>
      <c r="G21" s="637">
        <f t="shared" si="3"/>
        <v>3.4768473030786827E-3</v>
      </c>
      <c r="H21" s="189">
        <f t="shared" si="0"/>
        <v>76.7</v>
      </c>
      <c r="I21" s="629">
        <f t="shared" si="1"/>
        <v>6.5489467726794588E-4</v>
      </c>
    </row>
    <row r="22" spans="2:9" x14ac:dyDescent="0.25">
      <c r="B22" s="195" t="s">
        <v>118</v>
      </c>
      <c r="C22" s="598" t="s">
        <v>36</v>
      </c>
      <c r="D22" s="189">
        <f>12435875/1000</f>
        <v>12435.875</v>
      </c>
      <c r="E22" s="602">
        <f t="shared" si="2"/>
        <v>0.11607368542873162</v>
      </c>
      <c r="F22" s="162">
        <v>174.88399999999999</v>
      </c>
      <c r="G22" s="637">
        <f>F22/$F$27</f>
        <v>1.7522909618202083E-2</v>
      </c>
      <c r="H22" s="189">
        <f t="shared" si="0"/>
        <v>12610.759</v>
      </c>
      <c r="I22" s="629">
        <f t="shared" si="1"/>
        <v>0.10767560554639952</v>
      </c>
    </row>
    <row r="23" spans="2:9" x14ac:dyDescent="0.25">
      <c r="B23" s="195" t="s">
        <v>119</v>
      </c>
      <c r="C23" s="598" t="s">
        <v>37</v>
      </c>
      <c r="D23" s="189">
        <f xml:space="preserve"> 324544/1000</f>
        <v>324.54399999999998</v>
      </c>
      <c r="E23" s="602">
        <f t="shared" si="2"/>
        <v>3.029221358672572E-3</v>
      </c>
      <c r="F23" s="162">
        <v>49.598999999999997</v>
      </c>
      <c r="G23" s="637">
        <f t="shared" si="3"/>
        <v>4.9696873021728982E-3</v>
      </c>
      <c r="H23" s="189">
        <f t="shared" si="0"/>
        <v>374.14299999999997</v>
      </c>
      <c r="I23" s="629">
        <f t="shared" si="1"/>
        <v>3.1945796510698963E-3</v>
      </c>
    </row>
    <row r="24" spans="2:9" x14ac:dyDescent="0.25">
      <c r="B24" s="195" t="s">
        <v>120</v>
      </c>
      <c r="C24" s="598" t="s">
        <v>38</v>
      </c>
      <c r="D24" s="189">
        <f>(525681+ 228889)/1000</f>
        <v>754.57</v>
      </c>
      <c r="E24" s="602">
        <f t="shared" si="2"/>
        <v>7.0429881945547074E-3</v>
      </c>
      <c r="F24" s="162">
        <v>228.054</v>
      </c>
      <c r="G24" s="637">
        <f>F24/$F$27</f>
        <v>2.2850401580873366E-2</v>
      </c>
      <c r="H24" s="189">
        <f t="shared" si="0"/>
        <v>982.62400000000002</v>
      </c>
      <c r="I24" s="629">
        <f t="shared" si="1"/>
        <v>8.3900290398401297E-3</v>
      </c>
    </row>
    <row r="25" spans="2:9" x14ac:dyDescent="0.25">
      <c r="B25" s="195" t="s">
        <v>121</v>
      </c>
      <c r="C25" s="598" t="s">
        <v>39</v>
      </c>
      <c r="D25" s="189">
        <f>198718/1000</f>
        <v>198.71799999999999</v>
      </c>
      <c r="E25" s="602">
        <f t="shared" si="2"/>
        <v>1.8547895199193211E-3</v>
      </c>
      <c r="F25" s="162">
        <v>3.5129999999999999</v>
      </c>
      <c r="G25" s="637">
        <f t="shared" si="3"/>
        <v>3.5199321543848448E-4</v>
      </c>
      <c r="H25" s="189">
        <f t="shared" si="0"/>
        <v>202.23099999999999</v>
      </c>
      <c r="I25" s="629">
        <f t="shared" si="1"/>
        <v>1.7267275812069614E-3</v>
      </c>
    </row>
    <row r="26" spans="2:9" x14ac:dyDescent="0.25">
      <c r="B26" s="196" t="s">
        <v>122</v>
      </c>
      <c r="C26" s="598" t="s">
        <v>40</v>
      </c>
      <c r="D26" s="189">
        <f>342357/1000</f>
        <v>342.35700000000003</v>
      </c>
      <c r="E26" s="602">
        <f>D26/$D$27</f>
        <v>3.1954839303486304E-3</v>
      </c>
      <c r="F26" s="162">
        <v>2.3559999999999999</v>
      </c>
      <c r="G26" s="637">
        <f t="shared" si="3"/>
        <v>2.3606490622632206E-4</v>
      </c>
      <c r="H26" s="189">
        <f t="shared" si="0"/>
        <v>344.71300000000002</v>
      </c>
      <c r="I26" s="629">
        <f t="shared" si="1"/>
        <v>2.9432947703398357E-3</v>
      </c>
    </row>
    <row r="27" spans="2:9" x14ac:dyDescent="0.25">
      <c r="B27" s="196"/>
      <c r="C27" s="624" t="s">
        <v>8</v>
      </c>
      <c r="D27" s="190">
        <f>SUM(D8:D26)</f>
        <v>107137.76299999999</v>
      </c>
      <c r="E27" s="186">
        <f>D27/D27</f>
        <v>1</v>
      </c>
      <c r="F27" s="168">
        <f>SUM(F8:F26)</f>
        <v>9980.3060000000023</v>
      </c>
      <c r="G27" s="177">
        <f>F27/F27</f>
        <v>1</v>
      </c>
      <c r="H27" s="190">
        <f>SUM(H8:H26)</f>
        <v>117118.06899999999</v>
      </c>
      <c r="I27" s="186">
        <f>H27/H27</f>
        <v>1</v>
      </c>
    </row>
    <row r="28" spans="2:9" x14ac:dyDescent="0.25">
      <c r="B28" s="170"/>
      <c r="C28" s="78" t="s">
        <v>604</v>
      </c>
      <c r="D28" s="78"/>
      <c r="E28" s="170"/>
      <c r="F28" s="170"/>
      <c r="G28" s="170"/>
      <c r="H28" s="170"/>
      <c r="I28" s="170"/>
    </row>
    <row r="29" spans="2:9" x14ac:dyDescent="0.25">
      <c r="B29" s="170"/>
      <c r="C29" s="78" t="s">
        <v>607</v>
      </c>
      <c r="D29" s="78"/>
      <c r="E29" s="170"/>
      <c r="F29" s="170"/>
      <c r="G29" s="170"/>
      <c r="H29" s="170"/>
      <c r="I29" s="170"/>
    </row>
    <row r="30" spans="2:9" x14ac:dyDescent="0.25">
      <c r="B30" s="170"/>
      <c r="C30" s="231" t="s">
        <v>609</v>
      </c>
      <c r="D30" s="170"/>
      <c r="E30" s="170"/>
      <c r="F30" s="170"/>
      <c r="G30" s="170"/>
      <c r="H30" s="170"/>
      <c r="I30" s="170"/>
    </row>
    <row r="31" spans="2:9" x14ac:dyDescent="0.25">
      <c r="C31" s="170"/>
      <c r="D31" s="170"/>
      <c r="E31" s="170"/>
    </row>
  </sheetData>
  <sheetProtection password="C69F" sheet="1" objects="1" scenarios="1"/>
  <mergeCells count="4">
    <mergeCell ref="C6:C7"/>
    <mergeCell ref="H6:I6"/>
    <mergeCell ref="F6:G6"/>
    <mergeCell ref="D6:E6"/>
  </mergeCells>
  <hyperlinks>
    <hyperlink ref="A1" location="ÍNDICE!A1" display="ÍNDICE"/>
  </hyperlinks>
  <pageMargins left="0.7" right="0.7" top="0.75" bottom="0.75" header="0.3" footer="0.3"/>
  <ignoredErrors>
    <ignoredError sqref="G27" formula="1"/>
  </ignoredErrors>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O60"/>
  <sheetViews>
    <sheetView zoomScale="90" zoomScaleNormal="90" workbookViewId="0"/>
  </sheetViews>
  <sheetFormatPr baseColWidth="10" defaultRowHeight="15" x14ac:dyDescent="0.25"/>
  <cols>
    <col min="2" max="2" width="18.5703125" customWidth="1"/>
    <col min="3" max="3" width="12.42578125" customWidth="1"/>
    <col min="5" max="5" width="25.85546875" bestFit="1" customWidth="1"/>
    <col min="6" max="6" width="25" customWidth="1"/>
    <col min="7" max="7" width="10.28515625" customWidth="1"/>
    <col min="8" max="8" width="15.42578125" customWidth="1"/>
  </cols>
  <sheetData>
    <row r="1" spans="1:15" x14ac:dyDescent="0.25">
      <c r="A1" s="59" t="s">
        <v>132</v>
      </c>
    </row>
    <row r="2" spans="1:15" x14ac:dyDescent="0.25">
      <c r="A2" s="1" t="s">
        <v>267</v>
      </c>
    </row>
    <row r="3" spans="1:15" s="64" customFormat="1" x14ac:dyDescent="0.25"/>
    <row r="4" spans="1:15" x14ac:dyDescent="0.25">
      <c r="A4" s="58" t="s">
        <v>103</v>
      </c>
      <c r="B4" s="74" t="s">
        <v>642</v>
      </c>
    </row>
    <row r="6" spans="1:15" x14ac:dyDescent="0.25">
      <c r="B6" s="66"/>
      <c r="C6" s="672" t="s">
        <v>372</v>
      </c>
      <c r="D6" s="672"/>
      <c r="E6" s="672"/>
      <c r="F6" s="672"/>
      <c r="G6" s="672"/>
      <c r="H6" s="66"/>
    </row>
    <row r="7" spans="1:15" ht="15.75" thickBot="1" x14ac:dyDescent="0.3">
      <c r="B7" s="7"/>
      <c r="C7" s="52" t="s">
        <v>174</v>
      </c>
      <c r="D7" s="52" t="s">
        <v>68</v>
      </c>
      <c r="E7" s="52" t="s">
        <v>175</v>
      </c>
      <c r="F7" s="52" t="s">
        <v>176</v>
      </c>
      <c r="G7" s="52" t="s">
        <v>71</v>
      </c>
      <c r="H7" s="52" t="s">
        <v>8</v>
      </c>
    </row>
    <row r="8" spans="1:15" ht="15.75" thickTop="1" x14ac:dyDescent="0.25">
      <c r="B8" s="172" t="s">
        <v>447</v>
      </c>
      <c r="C8" s="178"/>
      <c r="D8" s="178"/>
      <c r="E8" s="178"/>
      <c r="F8" s="178"/>
      <c r="G8" s="178"/>
      <c r="H8" s="182"/>
    </row>
    <row r="9" spans="1:15" x14ac:dyDescent="0.25">
      <c r="B9" s="157" t="s">
        <v>5</v>
      </c>
      <c r="C9" s="162">
        <f>162.392905</f>
        <v>162.39290500000001</v>
      </c>
      <c r="D9" s="162">
        <f>224.705946</f>
        <v>224.70594600000001</v>
      </c>
      <c r="E9" s="162">
        <f>531.34957</f>
        <v>531.34956999999997</v>
      </c>
      <c r="F9" s="162">
        <f>242.221245</f>
        <v>242.22124500000001</v>
      </c>
      <c r="G9" s="162">
        <v>211.293319</v>
      </c>
      <c r="H9" s="179">
        <f>SUM(C9:G9)</f>
        <v>1371.9629850000001</v>
      </c>
    </row>
    <row r="10" spans="1:15" x14ac:dyDescent="0.25">
      <c r="B10" s="157" t="s">
        <v>51</v>
      </c>
      <c r="C10" s="162">
        <v>2523.91734</v>
      </c>
      <c r="D10" s="162">
        <v>824.18960300000003</v>
      </c>
      <c r="E10" s="162">
        <v>2999.312527</v>
      </c>
      <c r="F10" s="162">
        <v>588.30892100000005</v>
      </c>
      <c r="G10" s="162">
        <v>425.60562800000002</v>
      </c>
      <c r="H10" s="179">
        <f t="shared" ref="H10:H14" si="0">SUM(C10:G10)</f>
        <v>7361.3340189999999</v>
      </c>
    </row>
    <row r="11" spans="1:15" x14ac:dyDescent="0.25">
      <c r="B11" s="157" t="s">
        <v>6</v>
      </c>
      <c r="C11" s="162">
        <v>225.921233</v>
      </c>
      <c r="D11" s="162">
        <v>135.64048299999999</v>
      </c>
      <c r="E11" s="162">
        <v>740.623471</v>
      </c>
      <c r="F11" s="162">
        <v>360.92020200000002</v>
      </c>
      <c r="G11" s="162">
        <v>75.999986000000007</v>
      </c>
      <c r="H11" s="179">
        <f t="shared" si="0"/>
        <v>1539.1053750000001</v>
      </c>
    </row>
    <row r="12" spans="1:15" x14ac:dyDescent="0.25">
      <c r="B12" s="157" t="s">
        <v>7</v>
      </c>
      <c r="C12" s="162">
        <v>160.77169699999999</v>
      </c>
      <c r="D12" s="162">
        <v>372.77810099999999</v>
      </c>
      <c r="E12" s="162">
        <v>2174.0584220000001</v>
      </c>
      <c r="F12" s="162">
        <v>740.129997</v>
      </c>
      <c r="G12" s="162">
        <v>1662.3764269999999</v>
      </c>
      <c r="H12" s="179">
        <f t="shared" si="0"/>
        <v>5110.1146440000002</v>
      </c>
    </row>
    <row r="13" spans="1:15" x14ac:dyDescent="0.25">
      <c r="B13" s="157" t="s">
        <v>178</v>
      </c>
      <c r="C13" s="162">
        <v>58.133333333333333</v>
      </c>
      <c r="D13" s="162">
        <v>58.5</v>
      </c>
      <c r="E13" s="162">
        <v>148.19999999999999</v>
      </c>
      <c r="F13" s="162">
        <v>230.33333333333334</v>
      </c>
      <c r="G13" s="162">
        <v>32</v>
      </c>
      <c r="H13" s="179">
        <f>SUM(C13:G13)</f>
        <v>527.16666666666663</v>
      </c>
      <c r="J13" s="121"/>
    </row>
    <row r="14" spans="1:15" x14ac:dyDescent="0.25">
      <c r="B14" s="159" t="s">
        <v>179</v>
      </c>
      <c r="C14" s="164">
        <f>SUM(C9:C13)</f>
        <v>3131.1365083333335</v>
      </c>
      <c r="D14" s="164">
        <f>SUM(D9:D13)</f>
        <v>1615.8141329999999</v>
      </c>
      <c r="E14" s="164">
        <f>SUM(E9:E13)</f>
        <v>6593.5439900000001</v>
      </c>
      <c r="F14" s="164">
        <f>SUM(F9:F13)</f>
        <v>2161.9136983333333</v>
      </c>
      <c r="G14" s="164">
        <f>SUM(G9:G13)</f>
        <v>2407.2753600000001</v>
      </c>
      <c r="H14" s="164">
        <f t="shared" si="0"/>
        <v>15909.683689666666</v>
      </c>
      <c r="J14" s="121"/>
    </row>
    <row r="15" spans="1:15" x14ac:dyDescent="0.25">
      <c r="B15" s="28">
        <v>2013</v>
      </c>
      <c r="C15" s="170"/>
      <c r="D15" s="170"/>
      <c r="E15" s="170"/>
      <c r="F15" s="170"/>
      <c r="G15" s="170"/>
      <c r="H15" s="170"/>
      <c r="J15" s="121"/>
      <c r="K15" s="121"/>
      <c r="L15" s="121"/>
      <c r="M15" s="121"/>
      <c r="N15" s="121"/>
      <c r="O15" s="121"/>
    </row>
    <row r="16" spans="1:15" x14ac:dyDescent="0.25">
      <c r="B16" s="18" t="s">
        <v>5</v>
      </c>
      <c r="C16" s="167">
        <f>151.98</f>
        <v>151.97999999999999</v>
      </c>
      <c r="D16" s="167">
        <v>265.44666666699999</v>
      </c>
      <c r="E16" s="167">
        <f>512.690833333</f>
        <v>512.690833333</v>
      </c>
      <c r="F16" s="167">
        <v>185.758333333</v>
      </c>
      <c r="G16" s="167">
        <v>266.55</v>
      </c>
      <c r="H16" s="50">
        <f>SUM(C16:G16)</f>
        <v>1382.4258333329999</v>
      </c>
    </row>
    <row r="17" spans="2:8" x14ac:dyDescent="0.25">
      <c r="B17" s="18" t="s">
        <v>51</v>
      </c>
      <c r="C17" s="167">
        <v>2238.2441250000002</v>
      </c>
      <c r="D17" s="167">
        <v>788.68949999999995</v>
      </c>
      <c r="E17" s="167">
        <f>2457.98691667</f>
        <v>2457.98691667</v>
      </c>
      <c r="F17" s="167">
        <v>459.443333333</v>
      </c>
      <c r="G17" s="167">
        <v>727.51625000000001</v>
      </c>
      <c r="H17" s="50">
        <f t="shared" ref="H17:H21" si="1">SUM(C17:G17)</f>
        <v>6671.8801250030001</v>
      </c>
    </row>
    <row r="18" spans="2:8" x14ac:dyDescent="0.25">
      <c r="B18" s="18" t="s">
        <v>6</v>
      </c>
      <c r="C18" s="167">
        <v>175.527916667</v>
      </c>
      <c r="D18" s="167">
        <v>97.331666666700002</v>
      </c>
      <c r="E18" s="167">
        <f xml:space="preserve"> 389.61625</f>
        <v>389.61624999999998</v>
      </c>
      <c r="F18" s="167">
        <v>62.99</v>
      </c>
      <c r="G18" s="167">
        <v>67.78</v>
      </c>
      <c r="H18" s="50">
        <f t="shared" si="1"/>
        <v>793.24583333369992</v>
      </c>
    </row>
    <row r="19" spans="2:8" x14ac:dyDescent="0.25">
      <c r="B19" s="18" t="s">
        <v>7</v>
      </c>
      <c r="C19" s="167">
        <v>163.26</v>
      </c>
      <c r="D19" s="167">
        <v>327.02999999999997</v>
      </c>
      <c r="E19" s="167">
        <v>1930.17666667</v>
      </c>
      <c r="F19" s="167">
        <v>559.47</v>
      </c>
      <c r="G19" s="167">
        <v>925.38</v>
      </c>
      <c r="H19" s="50">
        <f t="shared" si="1"/>
        <v>3905.3166666699999</v>
      </c>
    </row>
    <row r="20" spans="2:8" ht="15.75" customHeight="1" x14ac:dyDescent="0.25">
      <c r="B20" s="18" t="s">
        <v>178</v>
      </c>
      <c r="C20" s="162">
        <v>60.3333333333333</v>
      </c>
      <c r="D20" s="162">
        <v>58.3333333333333</v>
      </c>
      <c r="E20" s="162">
        <v>191.333333333333</v>
      </c>
      <c r="F20" s="162">
        <v>114.833333333333</v>
      </c>
      <c r="G20" s="162">
        <v>51</v>
      </c>
      <c r="H20" s="50">
        <f t="shared" si="1"/>
        <v>475.83333333333258</v>
      </c>
    </row>
    <row r="21" spans="2:8" x14ac:dyDescent="0.25">
      <c r="B21" s="18" t="s">
        <v>8</v>
      </c>
      <c r="C21" s="50">
        <f>SUM(C16:C20)</f>
        <v>2789.3453750003341</v>
      </c>
      <c r="D21" s="50">
        <f>SUM(D16:D20)</f>
        <v>1536.8311666670331</v>
      </c>
      <c r="E21" s="50">
        <f>SUM(E16:E20)</f>
        <v>5481.8040000063329</v>
      </c>
      <c r="F21" s="50">
        <f>SUM(F16:F20)</f>
        <v>1382.494999999333</v>
      </c>
      <c r="G21" s="50">
        <f>SUM(G16:G20)</f>
        <v>2038.2262500000002</v>
      </c>
      <c r="H21" s="50">
        <f t="shared" si="1"/>
        <v>13228.701791673033</v>
      </c>
    </row>
    <row r="22" spans="2:8" x14ac:dyDescent="0.25">
      <c r="B22" s="172">
        <v>2012</v>
      </c>
      <c r="C22" s="178"/>
      <c r="D22" s="178"/>
      <c r="E22" s="178"/>
      <c r="F22" s="178"/>
      <c r="G22" s="178"/>
      <c r="H22" s="182"/>
    </row>
    <row r="23" spans="2:8" x14ac:dyDescent="0.25">
      <c r="B23" s="157" t="s">
        <v>5</v>
      </c>
      <c r="C23" s="162">
        <v>73.84</v>
      </c>
      <c r="D23" s="162">
        <v>131.15</v>
      </c>
      <c r="E23" s="162">
        <v>279.2</v>
      </c>
      <c r="F23" s="162">
        <v>70.8</v>
      </c>
      <c r="G23" s="162">
        <v>51.54</v>
      </c>
      <c r="H23" s="179">
        <f t="shared" ref="H23:H28" si="2">+SUM(C23:G23)</f>
        <v>606.53</v>
      </c>
    </row>
    <row r="24" spans="2:8" x14ac:dyDescent="0.25">
      <c r="B24" s="157" t="s">
        <v>51</v>
      </c>
      <c r="C24" s="162">
        <v>2295.0700000000002</v>
      </c>
      <c r="D24" s="162">
        <v>744.59</v>
      </c>
      <c r="E24" s="162">
        <v>2169.6999999999998</v>
      </c>
      <c r="F24" s="162">
        <v>1039.9000000000001</v>
      </c>
      <c r="G24" s="162">
        <v>569.84</v>
      </c>
      <c r="H24" s="179">
        <f t="shared" si="2"/>
        <v>6819.1</v>
      </c>
    </row>
    <row r="25" spans="2:8" x14ac:dyDescent="0.25">
      <c r="B25" s="157" t="s">
        <v>6</v>
      </c>
      <c r="C25" s="162">
        <v>278.99</v>
      </c>
      <c r="D25" s="162">
        <v>203.2</v>
      </c>
      <c r="E25" s="162">
        <v>692.23</v>
      </c>
      <c r="F25" s="162">
        <v>369.42</v>
      </c>
      <c r="G25" s="162">
        <v>440.18</v>
      </c>
      <c r="H25" s="179">
        <f t="shared" si="2"/>
        <v>1984.0200000000002</v>
      </c>
    </row>
    <row r="26" spans="2:8" x14ac:dyDescent="0.25">
      <c r="B26" s="157" t="s">
        <v>7</v>
      </c>
      <c r="C26" s="162">
        <v>185.88</v>
      </c>
      <c r="D26" s="162">
        <v>277.37</v>
      </c>
      <c r="E26" s="162">
        <v>2152.44</v>
      </c>
      <c r="F26" s="162">
        <v>992.39</v>
      </c>
      <c r="G26" s="162">
        <v>1128.57</v>
      </c>
      <c r="H26" s="179">
        <f t="shared" si="2"/>
        <v>4736.6499999999996</v>
      </c>
    </row>
    <row r="27" spans="2:8" x14ac:dyDescent="0.25">
      <c r="B27" s="157" t="s">
        <v>178</v>
      </c>
      <c r="C27" s="162">
        <v>71</v>
      </c>
      <c r="D27" s="162">
        <v>77</v>
      </c>
      <c r="E27" s="162">
        <v>191</v>
      </c>
      <c r="F27" s="162">
        <v>111</v>
      </c>
      <c r="G27" s="162">
        <v>35</v>
      </c>
      <c r="H27" s="179">
        <f t="shared" si="2"/>
        <v>485</v>
      </c>
    </row>
    <row r="28" spans="2:8" x14ac:dyDescent="0.25">
      <c r="B28" s="159" t="s">
        <v>8</v>
      </c>
      <c r="C28" s="164">
        <f>+SUM(C23:C27)</f>
        <v>2904.7800000000007</v>
      </c>
      <c r="D28" s="164">
        <f>+SUM(D23:D27)</f>
        <v>1433.31</v>
      </c>
      <c r="E28" s="164">
        <f>+SUM(E23:E27)</f>
        <v>5484.57</v>
      </c>
      <c r="F28" s="164">
        <f>+SUM(F23:F27)</f>
        <v>2583.5100000000002</v>
      </c>
      <c r="G28" s="164">
        <f>+SUM(G23:G27)</f>
        <v>2225.13</v>
      </c>
      <c r="H28" s="164">
        <f t="shared" si="2"/>
        <v>14631.3</v>
      </c>
    </row>
    <row r="29" spans="2:8" x14ac:dyDescent="0.25">
      <c r="B29" s="172">
        <v>2011</v>
      </c>
      <c r="C29" s="178"/>
      <c r="D29" s="178"/>
      <c r="E29" s="178"/>
      <c r="F29" s="178"/>
      <c r="G29" s="178"/>
      <c r="H29" s="182"/>
    </row>
    <row r="30" spans="2:8" x14ac:dyDescent="0.25">
      <c r="B30" s="157" t="s">
        <v>5</v>
      </c>
      <c r="C30" s="162">
        <v>59.65</v>
      </c>
      <c r="D30" s="162">
        <v>114.73</v>
      </c>
      <c r="E30" s="162">
        <v>228.07</v>
      </c>
      <c r="F30" s="162">
        <v>66.83</v>
      </c>
      <c r="G30" s="162">
        <v>34.68</v>
      </c>
      <c r="H30" s="179">
        <f t="shared" ref="H30:H35" si="3">+SUM(C30:G30)</f>
        <v>503.96</v>
      </c>
    </row>
    <row r="31" spans="2:8" x14ac:dyDescent="0.25">
      <c r="B31" s="157" t="s">
        <v>51</v>
      </c>
      <c r="C31" s="162">
        <v>2097.33</v>
      </c>
      <c r="D31" s="162">
        <v>687.67</v>
      </c>
      <c r="E31" s="162">
        <v>1917.81</v>
      </c>
      <c r="F31" s="162">
        <v>989.79</v>
      </c>
      <c r="G31" s="162">
        <v>530.16999999999996</v>
      </c>
      <c r="H31" s="179">
        <f t="shared" si="3"/>
        <v>6222.7699999999995</v>
      </c>
    </row>
    <row r="32" spans="2:8" x14ac:dyDescent="0.25">
      <c r="B32" s="157" t="s">
        <v>6</v>
      </c>
      <c r="C32" s="162">
        <v>269.74</v>
      </c>
      <c r="D32" s="162">
        <v>139.33000000000001</v>
      </c>
      <c r="E32" s="162">
        <v>561.44000000000005</v>
      </c>
      <c r="F32" s="162">
        <v>301.14999999999998</v>
      </c>
      <c r="G32" s="162">
        <v>443.1</v>
      </c>
      <c r="H32" s="179">
        <f t="shared" si="3"/>
        <v>1714.7600000000002</v>
      </c>
    </row>
    <row r="33" spans="2:8" x14ac:dyDescent="0.25">
      <c r="B33" s="157" t="s">
        <v>7</v>
      </c>
      <c r="C33" s="162">
        <v>153.09</v>
      </c>
      <c r="D33" s="162">
        <v>227.23</v>
      </c>
      <c r="E33" s="162">
        <v>1856.7059999999999</v>
      </c>
      <c r="F33" s="162">
        <v>875.74</v>
      </c>
      <c r="G33" s="162">
        <v>1027.79</v>
      </c>
      <c r="H33" s="179">
        <f t="shared" si="3"/>
        <v>4140.5559999999996</v>
      </c>
    </row>
    <row r="34" spans="2:8" x14ac:dyDescent="0.25">
      <c r="B34" s="157" t="s">
        <v>178</v>
      </c>
      <c r="C34" s="162">
        <v>67</v>
      </c>
      <c r="D34" s="162">
        <v>71</v>
      </c>
      <c r="E34" s="162">
        <v>187</v>
      </c>
      <c r="F34" s="162">
        <v>110</v>
      </c>
      <c r="G34" s="162">
        <v>35</v>
      </c>
      <c r="H34" s="179">
        <f t="shared" si="3"/>
        <v>470</v>
      </c>
    </row>
    <row r="35" spans="2:8" x14ac:dyDescent="0.25">
      <c r="B35" s="159" t="s">
        <v>179</v>
      </c>
      <c r="C35" s="164">
        <f>+SUM(C30:C34)</f>
        <v>2646.8100000000004</v>
      </c>
      <c r="D35" s="164">
        <f>+SUM(D30:D34)</f>
        <v>1239.96</v>
      </c>
      <c r="E35" s="164">
        <f>+SUM(E30:E34)</f>
        <v>4751.0259999999998</v>
      </c>
      <c r="F35" s="164">
        <f>+SUM(F30:F34)</f>
        <v>2343.5100000000002</v>
      </c>
      <c r="G35" s="164">
        <f>+SUM(G30:G34)</f>
        <v>2070.7399999999998</v>
      </c>
      <c r="H35" s="164">
        <f t="shared" si="3"/>
        <v>13052.046</v>
      </c>
    </row>
    <row r="36" spans="2:8" x14ac:dyDescent="0.25">
      <c r="B36" s="172">
        <v>2010</v>
      </c>
      <c r="C36" s="178"/>
      <c r="D36" s="178"/>
      <c r="E36" s="178"/>
      <c r="F36" s="178"/>
      <c r="G36" s="178"/>
      <c r="H36" s="182"/>
    </row>
    <row r="37" spans="2:8" x14ac:dyDescent="0.25">
      <c r="B37" s="157" t="s">
        <v>5</v>
      </c>
      <c r="C37" s="162">
        <v>46.4</v>
      </c>
      <c r="D37" s="162">
        <v>67.98</v>
      </c>
      <c r="E37" s="162">
        <v>211.54</v>
      </c>
      <c r="F37" s="162">
        <v>60.45</v>
      </c>
      <c r="G37" s="162">
        <v>17.350000000000001</v>
      </c>
      <c r="H37" s="179">
        <f t="shared" ref="H37:H42" si="4">+SUM(C37:G37)</f>
        <v>403.71999999999997</v>
      </c>
    </row>
    <row r="38" spans="2:8" x14ac:dyDescent="0.25">
      <c r="B38" s="157" t="s">
        <v>51</v>
      </c>
      <c r="C38" s="162">
        <v>1928.98</v>
      </c>
      <c r="D38" s="162">
        <v>706.26</v>
      </c>
      <c r="E38" s="162">
        <v>2014.31</v>
      </c>
      <c r="F38" s="162">
        <v>779.13</v>
      </c>
      <c r="G38" s="162">
        <v>704.61</v>
      </c>
      <c r="H38" s="179">
        <f t="shared" si="4"/>
        <v>6133.2899999999991</v>
      </c>
    </row>
    <row r="39" spans="2:8" x14ac:dyDescent="0.25">
      <c r="B39" s="157" t="s">
        <v>6</v>
      </c>
      <c r="C39" s="162">
        <v>266.87</v>
      </c>
      <c r="D39" s="162">
        <v>135.12</v>
      </c>
      <c r="E39" s="162">
        <v>428.27</v>
      </c>
      <c r="F39" s="162">
        <v>334.86</v>
      </c>
      <c r="G39" s="162">
        <v>323.81</v>
      </c>
      <c r="H39" s="179">
        <f t="shared" si="4"/>
        <v>1488.9299999999998</v>
      </c>
    </row>
    <row r="40" spans="2:8" x14ac:dyDescent="0.25">
      <c r="B40" s="157" t="s">
        <v>7</v>
      </c>
      <c r="C40" s="162">
        <v>122.21</v>
      </c>
      <c r="D40" s="162">
        <v>159.5</v>
      </c>
      <c r="E40" s="162">
        <v>1499.27</v>
      </c>
      <c r="F40" s="162">
        <v>538.04</v>
      </c>
      <c r="G40" s="162">
        <v>1146.08</v>
      </c>
      <c r="H40" s="179">
        <f t="shared" si="4"/>
        <v>3465.1</v>
      </c>
    </row>
    <row r="41" spans="2:8" x14ac:dyDescent="0.25">
      <c r="B41" s="157" t="s">
        <v>178</v>
      </c>
      <c r="C41" s="162" t="s">
        <v>128</v>
      </c>
      <c r="D41" s="162" t="s">
        <v>128</v>
      </c>
      <c r="E41" s="162" t="s">
        <v>128</v>
      </c>
      <c r="F41" s="162" t="s">
        <v>128</v>
      </c>
      <c r="G41" s="162" t="s">
        <v>128</v>
      </c>
      <c r="H41" s="179">
        <f t="shared" si="4"/>
        <v>0</v>
      </c>
    </row>
    <row r="42" spans="2:8" x14ac:dyDescent="0.25">
      <c r="B42" s="159" t="s">
        <v>179</v>
      </c>
      <c r="C42" s="164">
        <f>+SUM(C37:C41)</f>
        <v>2364.46</v>
      </c>
      <c r="D42" s="164">
        <f>+SUM(D37:D41)</f>
        <v>1068.8600000000001</v>
      </c>
      <c r="E42" s="164">
        <f>+SUM(E37:E41)</f>
        <v>4153.3899999999994</v>
      </c>
      <c r="F42" s="164">
        <f>+SUM(F37:F41)</f>
        <v>1712.48</v>
      </c>
      <c r="G42" s="164">
        <f>+SUM(G37:G41)</f>
        <v>2191.85</v>
      </c>
      <c r="H42" s="164">
        <f t="shared" si="4"/>
        <v>11491.039999999999</v>
      </c>
    </row>
    <row r="43" spans="2:8" x14ac:dyDescent="0.25">
      <c r="B43" s="172">
        <v>2009</v>
      </c>
      <c r="C43" s="178"/>
      <c r="D43" s="178"/>
      <c r="E43" s="178"/>
      <c r="F43" s="178"/>
      <c r="G43" s="178"/>
      <c r="H43" s="182"/>
    </row>
    <row r="44" spans="2:8" x14ac:dyDescent="0.25">
      <c r="B44" s="157" t="s">
        <v>5</v>
      </c>
      <c r="C44" s="162">
        <v>42.12</v>
      </c>
      <c r="D44" s="162">
        <v>58.88</v>
      </c>
      <c r="E44" s="162">
        <v>198.83</v>
      </c>
      <c r="F44" s="162">
        <v>59.54</v>
      </c>
      <c r="G44" s="162">
        <v>15.97</v>
      </c>
      <c r="H44" s="179">
        <f t="shared" ref="H44:H49" si="5">+SUM(C44:G44)</f>
        <v>375.34000000000009</v>
      </c>
    </row>
    <row r="45" spans="2:8" x14ac:dyDescent="0.25">
      <c r="B45" s="157" t="s">
        <v>51</v>
      </c>
      <c r="C45" s="162">
        <v>1763.89</v>
      </c>
      <c r="D45" s="162">
        <v>660.02</v>
      </c>
      <c r="E45" s="162">
        <v>1838.4</v>
      </c>
      <c r="F45" s="162">
        <v>734.14</v>
      </c>
      <c r="G45" s="162">
        <v>641.21</v>
      </c>
      <c r="H45" s="179">
        <f t="shared" si="5"/>
        <v>5637.66</v>
      </c>
    </row>
    <row r="46" spans="2:8" x14ac:dyDescent="0.25">
      <c r="B46" s="157" t="s">
        <v>6</v>
      </c>
      <c r="C46" s="162">
        <v>255.79</v>
      </c>
      <c r="D46" s="162">
        <v>133.81</v>
      </c>
      <c r="E46" s="162">
        <v>399.89</v>
      </c>
      <c r="F46" s="162">
        <v>314.18</v>
      </c>
      <c r="G46" s="162">
        <v>368.38</v>
      </c>
      <c r="H46" s="179">
        <f t="shared" si="5"/>
        <v>1472.0500000000002</v>
      </c>
    </row>
    <row r="47" spans="2:8" x14ac:dyDescent="0.25">
      <c r="B47" s="157" t="s">
        <v>7</v>
      </c>
      <c r="C47" s="162">
        <v>118.58</v>
      </c>
      <c r="D47" s="162">
        <v>161.15</v>
      </c>
      <c r="E47" s="162">
        <v>1212.27</v>
      </c>
      <c r="F47" s="162">
        <v>506.95</v>
      </c>
      <c r="G47" s="162">
        <v>945.9</v>
      </c>
      <c r="H47" s="179">
        <f t="shared" si="5"/>
        <v>2944.85</v>
      </c>
    </row>
    <row r="48" spans="2:8" x14ac:dyDescent="0.25">
      <c r="B48" s="157" t="s">
        <v>178</v>
      </c>
      <c r="C48" s="162" t="s">
        <v>128</v>
      </c>
      <c r="D48" s="162" t="s">
        <v>128</v>
      </c>
      <c r="E48" s="162" t="s">
        <v>128</v>
      </c>
      <c r="F48" s="162" t="s">
        <v>128</v>
      </c>
      <c r="G48" s="162" t="s">
        <v>128</v>
      </c>
      <c r="H48" s="179">
        <f t="shared" si="5"/>
        <v>0</v>
      </c>
    </row>
    <row r="49" spans="2:8" x14ac:dyDescent="0.25">
      <c r="B49" s="159" t="s">
        <v>179</v>
      </c>
      <c r="C49" s="164">
        <f>+SUM(C44:C48)</f>
        <v>2180.38</v>
      </c>
      <c r="D49" s="164">
        <f>+SUM(D44:D48)</f>
        <v>1013.86</v>
      </c>
      <c r="E49" s="164">
        <f>+SUM(E44:E48)</f>
        <v>3649.39</v>
      </c>
      <c r="F49" s="164">
        <f>+SUM(F44:F48)</f>
        <v>1614.81</v>
      </c>
      <c r="G49" s="164">
        <f>+SUM(G44:G48)</f>
        <v>1971.46</v>
      </c>
      <c r="H49" s="164">
        <f t="shared" si="5"/>
        <v>10429.900000000001</v>
      </c>
    </row>
    <row r="50" spans="2:8" x14ac:dyDescent="0.25">
      <c r="B50" s="564"/>
      <c r="C50" s="170"/>
      <c r="D50" s="170"/>
      <c r="E50" s="170"/>
      <c r="F50" s="170"/>
      <c r="G50" s="170"/>
      <c r="H50" s="170"/>
    </row>
    <row r="51" spans="2:8" x14ac:dyDescent="0.25">
      <c r="B51" s="202" t="s">
        <v>598</v>
      </c>
    </row>
    <row r="52" spans="2:8" x14ac:dyDescent="0.25">
      <c r="B52" s="89"/>
    </row>
    <row r="53" spans="2:8" x14ac:dyDescent="0.25">
      <c r="B53" s="89"/>
    </row>
    <row r="54" spans="2:8" ht="15.75" thickBot="1" x14ac:dyDescent="0.3">
      <c r="C54" s="52" t="s">
        <v>174</v>
      </c>
      <c r="D54" s="52" t="s">
        <v>68</v>
      </c>
      <c r="E54" s="52" t="s">
        <v>175</v>
      </c>
      <c r="F54" s="52" t="s">
        <v>176</v>
      </c>
      <c r="G54" s="52" t="s">
        <v>71</v>
      </c>
    </row>
    <row r="55" spans="2:8" ht="15.75" thickTop="1" x14ac:dyDescent="0.25">
      <c r="B55">
        <v>2009</v>
      </c>
      <c r="C55" s="51">
        <v>2180.38</v>
      </c>
      <c r="D55" s="51">
        <v>1013.86</v>
      </c>
      <c r="E55" s="51">
        <v>3649.39</v>
      </c>
      <c r="F55" s="51">
        <v>1614.81</v>
      </c>
      <c r="G55" s="51">
        <v>1971.46</v>
      </c>
    </row>
    <row r="56" spans="2:8" x14ac:dyDescent="0.25">
      <c r="B56" s="121">
        <v>2010</v>
      </c>
      <c r="C56" s="49">
        <v>2364.46</v>
      </c>
      <c r="D56" s="49">
        <v>1068.8600000000001</v>
      </c>
      <c r="E56" s="49">
        <v>4153.3899999999994</v>
      </c>
      <c r="F56" s="49">
        <v>1712.48</v>
      </c>
      <c r="G56" s="49">
        <v>2191.85</v>
      </c>
    </row>
    <row r="57" spans="2:8" x14ac:dyDescent="0.25">
      <c r="B57" s="121">
        <v>2011</v>
      </c>
      <c r="C57" s="49">
        <v>2646.8100000000004</v>
      </c>
      <c r="D57" s="49">
        <v>1239.96</v>
      </c>
      <c r="E57" s="49">
        <v>4751.0259999999998</v>
      </c>
      <c r="F57" s="49">
        <v>2343.5100000000002</v>
      </c>
      <c r="G57" s="49">
        <v>2070.7399999999998</v>
      </c>
    </row>
    <row r="58" spans="2:8" x14ac:dyDescent="0.25">
      <c r="B58" s="121">
        <v>2012</v>
      </c>
      <c r="C58" s="49">
        <v>2904.7800000000007</v>
      </c>
      <c r="D58" s="49">
        <v>1433.31</v>
      </c>
      <c r="E58" s="49">
        <v>5484.57</v>
      </c>
      <c r="F58" s="49">
        <v>2583.5100000000002</v>
      </c>
      <c r="G58" s="49">
        <v>2225.13</v>
      </c>
    </row>
    <row r="59" spans="2:8" x14ac:dyDescent="0.25">
      <c r="B59" s="121">
        <v>2013</v>
      </c>
      <c r="C59" s="49">
        <v>2789.3453750003341</v>
      </c>
      <c r="D59" s="49">
        <v>1536.8311666670331</v>
      </c>
      <c r="E59" s="49">
        <v>5481.8040000063329</v>
      </c>
      <c r="F59" s="49">
        <v>1382.494999999333</v>
      </c>
      <c r="G59" s="49">
        <v>2038.2262500000002</v>
      </c>
    </row>
    <row r="60" spans="2:8" x14ac:dyDescent="0.25">
      <c r="B60">
        <v>2014</v>
      </c>
      <c r="C60" s="164">
        <v>3131.1365083333335</v>
      </c>
      <c r="D60" s="164">
        <v>1615.8141329999999</v>
      </c>
      <c r="E60" s="164">
        <v>6593.5439900000001</v>
      </c>
      <c r="F60" s="164">
        <v>2161.9136983333333</v>
      </c>
      <c r="G60" s="164">
        <v>2407.2753600000001</v>
      </c>
      <c r="H60" s="204"/>
    </row>
  </sheetData>
  <sheetProtection password="C69F" sheet="1" objects="1" scenarios="1"/>
  <sortState ref="B48:G52">
    <sortCondition ref="B8:B12"/>
  </sortState>
  <mergeCells count="1">
    <mergeCell ref="C6:G6"/>
  </mergeCells>
  <hyperlinks>
    <hyperlink ref="A1" location="ÍNDICE!A1" display="ÍNDICE"/>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R74"/>
  <sheetViews>
    <sheetView zoomScale="90" zoomScaleNormal="90" workbookViewId="0"/>
  </sheetViews>
  <sheetFormatPr baseColWidth="10" defaultRowHeight="15" x14ac:dyDescent="0.25"/>
  <cols>
    <col min="2" max="2" width="18.7109375" customWidth="1"/>
    <col min="3" max="3" width="16.42578125" customWidth="1"/>
    <col min="4" max="4" width="30.140625" customWidth="1"/>
    <col min="5" max="5" width="22.7109375" bestFit="1" customWidth="1"/>
    <col min="6" max="6" width="14.85546875" customWidth="1"/>
    <col min="8" max="8" width="19.42578125" customWidth="1"/>
    <col min="9" max="9" width="12.85546875" customWidth="1"/>
    <col min="10" max="10" width="16" customWidth="1"/>
    <col min="11" max="11" width="25.28515625" customWidth="1"/>
    <col min="12" max="12" width="16.5703125" customWidth="1"/>
    <col min="13" max="13" width="10.140625" customWidth="1"/>
    <col min="15" max="15" width="15.7109375" bestFit="1" customWidth="1"/>
    <col min="16" max="16" width="8.5703125" customWidth="1"/>
  </cols>
  <sheetData>
    <row r="1" spans="1:16" x14ac:dyDescent="0.25">
      <c r="A1" s="59" t="s">
        <v>132</v>
      </c>
    </row>
    <row r="2" spans="1:16" s="64" customFormat="1" x14ac:dyDescent="0.25">
      <c r="A2" s="1" t="s">
        <v>417</v>
      </c>
    </row>
    <row r="3" spans="1:16" s="64" customFormat="1" x14ac:dyDescent="0.25">
      <c r="O3" s="121"/>
      <c r="P3" s="121"/>
    </row>
    <row r="4" spans="1:16" x14ac:dyDescent="0.25">
      <c r="A4" s="58" t="s">
        <v>103</v>
      </c>
      <c r="B4" t="s">
        <v>643</v>
      </c>
      <c r="H4" s="121"/>
      <c r="I4" s="121"/>
      <c r="J4" s="121"/>
      <c r="K4" s="121"/>
      <c r="L4" s="121"/>
      <c r="O4" s="121"/>
      <c r="P4" s="121"/>
    </row>
    <row r="5" spans="1:16" x14ac:dyDescent="0.25">
      <c r="H5" s="121"/>
    </row>
    <row r="6" spans="1:16" x14ac:dyDescent="0.25">
      <c r="B6" s="672" t="s">
        <v>380</v>
      </c>
      <c r="C6" s="672"/>
      <c r="D6" s="672"/>
      <c r="E6" s="672"/>
      <c r="F6" s="672"/>
      <c r="H6" s="714" t="s">
        <v>409</v>
      </c>
      <c r="I6" s="714"/>
      <c r="J6" s="714"/>
      <c r="K6" s="714"/>
      <c r="L6" s="714"/>
      <c r="M6" s="714"/>
      <c r="N6" s="714"/>
    </row>
    <row r="7" spans="1:16" ht="15.75" thickBot="1" x14ac:dyDescent="0.3">
      <c r="B7" s="7"/>
      <c r="C7" s="52" t="s">
        <v>180</v>
      </c>
      <c r="D7" s="52" t="s">
        <v>181</v>
      </c>
      <c r="E7" s="52" t="s">
        <v>182</v>
      </c>
      <c r="F7" s="52" t="s">
        <v>8</v>
      </c>
      <c r="H7" s="7"/>
      <c r="I7" s="52" t="s">
        <v>67</v>
      </c>
      <c r="J7" s="52" t="s">
        <v>68</v>
      </c>
      <c r="K7" s="52" t="s">
        <v>69</v>
      </c>
      <c r="L7" s="52" t="s">
        <v>70</v>
      </c>
      <c r="M7" s="52" t="s">
        <v>71</v>
      </c>
      <c r="N7" s="52" t="s">
        <v>8</v>
      </c>
    </row>
    <row r="8" spans="1:16" s="204" customFormat="1" ht="15.75" thickTop="1" x14ac:dyDescent="0.25">
      <c r="B8" s="171" t="s">
        <v>447</v>
      </c>
      <c r="C8" s="156"/>
      <c r="D8" s="156"/>
      <c r="E8" s="156"/>
      <c r="F8" s="174"/>
      <c r="H8" s="171" t="s">
        <v>447</v>
      </c>
      <c r="I8" s="167"/>
      <c r="J8" s="167"/>
      <c r="K8" s="167"/>
      <c r="L8" s="167"/>
      <c r="M8" s="167"/>
      <c r="N8" s="167"/>
    </row>
    <row r="9" spans="1:16" s="204" customFormat="1" x14ac:dyDescent="0.25">
      <c r="B9" s="157" t="s">
        <v>5</v>
      </c>
      <c r="C9" s="162">
        <f>768.897991</f>
        <v>768.89799100000005</v>
      </c>
      <c r="D9" s="162">
        <f>299.185847</f>
        <v>299.18584700000002</v>
      </c>
      <c r="E9" s="162">
        <v>303.87914699999999</v>
      </c>
      <c r="F9" s="179">
        <f>SUM(C9:E9)</f>
        <v>1371.9629850000001</v>
      </c>
      <c r="H9" s="157" t="s">
        <v>5</v>
      </c>
      <c r="I9" s="150">
        <v>157.403322</v>
      </c>
      <c r="J9" s="150">
        <v>194.21470099999999</v>
      </c>
      <c r="K9" s="150">
        <v>329.68830300000002</v>
      </c>
      <c r="L9" s="150">
        <v>66.133332999999993</v>
      </c>
      <c r="M9" s="150">
        <v>21.458331999999999</v>
      </c>
      <c r="N9" s="179">
        <f>SUM(I9:M9)</f>
        <v>768.89799100000005</v>
      </c>
    </row>
    <row r="10" spans="1:16" s="204" customFormat="1" x14ac:dyDescent="0.25">
      <c r="B10" s="157" t="s">
        <v>177</v>
      </c>
      <c r="C10" s="162">
        <v>3600.402619</v>
      </c>
      <c r="D10" s="162">
        <v>2965.453008</v>
      </c>
      <c r="E10" s="162">
        <v>795.47839199999999</v>
      </c>
      <c r="F10" s="179">
        <f t="shared" ref="F10:F12" si="0">SUM(C10:E10)</f>
        <v>7361.3340189999999</v>
      </c>
      <c r="H10" s="157" t="s">
        <v>177</v>
      </c>
      <c r="I10" s="150">
        <v>2419.1571549999999</v>
      </c>
      <c r="J10" s="150">
        <v>510.06429300000002</v>
      </c>
      <c r="K10" s="150">
        <v>639.51291300000003</v>
      </c>
      <c r="L10" s="150">
        <f>6.351665</f>
        <v>6.3516649999999997</v>
      </c>
      <c r="M10" s="150">
        <v>25.316593000000001</v>
      </c>
      <c r="N10" s="179">
        <f t="shared" ref="N10:N13" si="1">SUM(I10:M10)</f>
        <v>3600.402619</v>
      </c>
    </row>
    <row r="11" spans="1:16" s="204" customFormat="1" x14ac:dyDescent="0.25">
      <c r="B11" s="157" t="s">
        <v>6</v>
      </c>
      <c r="C11" s="162">
        <v>915.27875800000004</v>
      </c>
      <c r="D11" s="162">
        <v>498.137472</v>
      </c>
      <c r="E11" s="162">
        <v>125.689145</v>
      </c>
      <c r="F11" s="179">
        <f t="shared" si="0"/>
        <v>1539.1053750000001</v>
      </c>
      <c r="H11" s="157" t="s">
        <v>6</v>
      </c>
      <c r="I11" s="150">
        <v>214.77540099999999</v>
      </c>
      <c r="J11" s="150">
        <v>98.066322999999997</v>
      </c>
      <c r="K11" s="150">
        <v>442.84537399999999</v>
      </c>
      <c r="L11" s="150">
        <v>155.52916500000001</v>
      </c>
      <c r="M11" s="150">
        <v>4.0624950000000002</v>
      </c>
      <c r="N11" s="179">
        <f t="shared" si="1"/>
        <v>915.27875800000004</v>
      </c>
    </row>
    <row r="12" spans="1:16" s="204" customFormat="1" x14ac:dyDescent="0.25">
      <c r="B12" s="157" t="s">
        <v>7</v>
      </c>
      <c r="C12" s="162">
        <v>2264.5409800000002</v>
      </c>
      <c r="D12" s="162">
        <v>1385.45299</v>
      </c>
      <c r="E12" s="162">
        <v>1460.120674</v>
      </c>
      <c r="F12" s="179">
        <f t="shared" si="0"/>
        <v>5110.1146440000002</v>
      </c>
      <c r="H12" s="157" t="s">
        <v>7</v>
      </c>
      <c r="I12" s="150">
        <v>155.746073</v>
      </c>
      <c r="J12" s="150">
        <v>306.89418899999998</v>
      </c>
      <c r="K12" s="150">
        <v>1542.515234</v>
      </c>
      <c r="L12" s="150">
        <v>171.94465199999999</v>
      </c>
      <c r="M12" s="150">
        <v>87.440832</v>
      </c>
      <c r="N12" s="179">
        <f t="shared" si="1"/>
        <v>2264.5409799999998</v>
      </c>
    </row>
    <row r="13" spans="1:16" s="204" customFormat="1" x14ac:dyDescent="0.25">
      <c r="B13" s="157" t="s">
        <v>178</v>
      </c>
      <c r="C13" s="162">
        <v>52.966666666666697</v>
      </c>
      <c r="D13" s="162">
        <v>426.36666666666662</v>
      </c>
      <c r="E13" s="162">
        <v>47.833333333333336</v>
      </c>
      <c r="F13" s="179">
        <f>SUM(C13:E13)</f>
        <v>527.16666666666663</v>
      </c>
      <c r="H13" s="157" t="s">
        <v>178</v>
      </c>
      <c r="I13" s="150">
        <v>32.966666666666669</v>
      </c>
      <c r="J13" s="150">
        <v>6</v>
      </c>
      <c r="K13" s="150">
        <v>14</v>
      </c>
      <c r="L13" s="150">
        <v>0</v>
      </c>
      <c r="M13" s="150">
        <v>0</v>
      </c>
      <c r="N13" s="179">
        <f t="shared" si="1"/>
        <v>52.966666666666669</v>
      </c>
    </row>
    <row r="14" spans="1:16" s="204" customFormat="1" x14ac:dyDescent="0.25">
      <c r="B14" s="159" t="s">
        <v>8</v>
      </c>
      <c r="C14" s="164">
        <f>SUM(C9:C13)</f>
        <v>7602.0870146666675</v>
      </c>
      <c r="D14" s="164">
        <f t="shared" ref="D14:F14" si="2">SUM(D9:D13)</f>
        <v>5574.5959836666671</v>
      </c>
      <c r="E14" s="164">
        <f t="shared" si="2"/>
        <v>2733.0006913333336</v>
      </c>
      <c r="F14" s="164">
        <f t="shared" si="2"/>
        <v>15909.683689666666</v>
      </c>
      <c r="H14" s="159" t="s">
        <v>8</v>
      </c>
      <c r="I14" s="164">
        <f>SUM(I9:I13)</f>
        <v>2980.0486176666664</v>
      </c>
      <c r="J14" s="164">
        <f t="shared" ref="J14:N14" si="3">SUM(J9:J13)</f>
        <v>1115.2395059999999</v>
      </c>
      <c r="K14" s="164">
        <f t="shared" si="3"/>
        <v>2968.5618239999999</v>
      </c>
      <c r="L14" s="164">
        <f t="shared" si="3"/>
        <v>399.95881499999996</v>
      </c>
      <c r="M14" s="164">
        <f t="shared" si="3"/>
        <v>138.27825200000001</v>
      </c>
      <c r="N14" s="164">
        <f t="shared" si="3"/>
        <v>7602.0870146666666</v>
      </c>
    </row>
    <row r="15" spans="1:16" x14ac:dyDescent="0.25">
      <c r="B15" s="173">
        <v>2013</v>
      </c>
      <c r="C15" s="158"/>
      <c r="D15" s="158"/>
      <c r="E15" s="158"/>
      <c r="F15" s="175"/>
      <c r="H15" s="173">
        <v>2013</v>
      </c>
      <c r="I15" s="167"/>
      <c r="J15" s="167"/>
      <c r="K15" s="167"/>
      <c r="L15" s="167"/>
      <c r="M15" s="167"/>
      <c r="N15" s="167"/>
    </row>
    <row r="16" spans="1:16" x14ac:dyDescent="0.25">
      <c r="B16" s="10" t="s">
        <v>5</v>
      </c>
      <c r="C16" s="162">
        <f>710.255833333</f>
        <v>710.25583333300006</v>
      </c>
      <c r="D16" s="162">
        <f>302.81</f>
        <v>302.81</v>
      </c>
      <c r="E16" s="162">
        <v>369.35</v>
      </c>
      <c r="F16" s="179">
        <f>SUM(C16:E16)</f>
        <v>1382.4158333330001</v>
      </c>
      <c r="H16" s="10" t="s">
        <v>5</v>
      </c>
      <c r="I16" s="150">
        <v>147</v>
      </c>
      <c r="J16" s="150">
        <v>225.97666666699999</v>
      </c>
      <c r="K16" s="150">
        <v>327.693333333</v>
      </c>
      <c r="L16" s="150">
        <v>4.6083333333300001</v>
      </c>
      <c r="M16" s="150">
        <v>5</v>
      </c>
      <c r="N16" s="179">
        <f>SUM(I16:M16)</f>
        <v>710.27833333333012</v>
      </c>
    </row>
    <row r="17" spans="2:18" x14ac:dyDescent="0.25">
      <c r="B17" s="10" t="s">
        <v>177</v>
      </c>
      <c r="C17" s="162">
        <f xml:space="preserve"> 3259.39179167</f>
        <v>3259.3917916700002</v>
      </c>
      <c r="D17" s="162">
        <f>2447.66083333</f>
        <v>2447.6608333300001</v>
      </c>
      <c r="E17" s="162">
        <v>964.49749999999995</v>
      </c>
      <c r="F17" s="179">
        <f t="shared" ref="F17:F21" si="4">SUM(C17:E17)</f>
        <v>6671.5501249999998</v>
      </c>
      <c r="H17" s="10" t="s">
        <v>177</v>
      </c>
      <c r="I17" s="150">
        <v>2156.952675</v>
      </c>
      <c r="J17" s="150">
        <v>533.38012500000002</v>
      </c>
      <c r="K17" s="150">
        <v>539.34383333300002</v>
      </c>
      <c r="L17" s="150">
        <v>11.1</v>
      </c>
      <c r="M17" s="150">
        <v>18.8966666667</v>
      </c>
      <c r="N17" s="179">
        <f t="shared" ref="N17:N20" si="5">SUM(I17:M17)</f>
        <v>3259.6732999997002</v>
      </c>
    </row>
    <row r="18" spans="2:18" x14ac:dyDescent="0.25">
      <c r="B18" s="10" t="s">
        <v>6</v>
      </c>
      <c r="C18" s="162">
        <f>441.097916667</f>
        <v>441.09791666699999</v>
      </c>
      <c r="D18" s="162">
        <f xml:space="preserve"> 264.158333333</f>
        <v>264.15833333299997</v>
      </c>
      <c r="E18" s="162">
        <f>87.9795833333</f>
        <v>87.979583333299999</v>
      </c>
      <c r="F18" s="179">
        <f t="shared" si="4"/>
        <v>793.23583333329987</v>
      </c>
      <c r="H18" s="10" t="s">
        <v>6</v>
      </c>
      <c r="I18" s="150">
        <v>167.757083333</v>
      </c>
      <c r="J18" s="150">
        <v>68.363333333300005</v>
      </c>
      <c r="K18" s="150">
        <v>199.996666667</v>
      </c>
      <c r="L18" s="150">
        <v>4.8958333333299997</v>
      </c>
      <c r="M18" s="150">
        <v>0.1</v>
      </c>
      <c r="N18" s="179">
        <f t="shared" si="5"/>
        <v>441.11291666663004</v>
      </c>
    </row>
    <row r="19" spans="2:18" x14ac:dyDescent="0.25">
      <c r="B19" s="10" t="s">
        <v>7</v>
      </c>
      <c r="C19" s="162">
        <f>1430.48666667</f>
        <v>1430.48666667</v>
      </c>
      <c r="D19" s="162">
        <v>1385.06</v>
      </c>
      <c r="E19" s="162">
        <f>1089.75</f>
        <v>1089.75</v>
      </c>
      <c r="F19" s="179">
        <f t="shared" si="4"/>
        <v>3905.2966666699999</v>
      </c>
      <c r="G19" s="121"/>
      <c r="H19" s="10" t="s">
        <v>7</v>
      </c>
      <c r="I19" s="150">
        <v>155.94999999999999</v>
      </c>
      <c r="J19" s="150">
        <v>242.723333333</v>
      </c>
      <c r="K19" s="150">
        <v>981.40895833299999</v>
      </c>
      <c r="L19" s="150">
        <v>44.186666666699999</v>
      </c>
      <c r="M19" s="150">
        <v>6.26</v>
      </c>
      <c r="N19" s="179">
        <f t="shared" si="5"/>
        <v>1430.5289583326999</v>
      </c>
    </row>
    <row r="20" spans="2:18" x14ac:dyDescent="0.25">
      <c r="B20" s="10" t="s">
        <v>178</v>
      </c>
      <c r="C20" s="162">
        <v>51.6666666666667</v>
      </c>
      <c r="D20" s="162">
        <v>388.33333333333331</v>
      </c>
      <c r="E20" s="162">
        <v>35.833333333333336</v>
      </c>
      <c r="F20" s="179">
        <f>SUM(C20:E20)</f>
        <v>475.83333333333331</v>
      </c>
      <c r="H20" s="10" t="s">
        <v>178</v>
      </c>
      <c r="I20" s="150">
        <v>38.666666666666671</v>
      </c>
      <c r="J20" s="150">
        <v>5</v>
      </c>
      <c r="K20" s="150">
        <v>8</v>
      </c>
      <c r="L20" s="150">
        <v>0</v>
      </c>
      <c r="M20" s="150">
        <v>0</v>
      </c>
      <c r="N20" s="179">
        <f t="shared" si="5"/>
        <v>51.666666666666671</v>
      </c>
    </row>
    <row r="21" spans="2:18" x14ac:dyDescent="0.25">
      <c r="B21" s="10" t="s">
        <v>8</v>
      </c>
      <c r="C21" s="179">
        <f>SUM(C16:C20)</f>
        <v>5892.8988750066674</v>
      </c>
      <c r="D21" s="179">
        <f>SUM(D16:D20)</f>
        <v>4788.022499996333</v>
      </c>
      <c r="E21" s="179">
        <f>SUM(E16:E20)</f>
        <v>2547.4104166666334</v>
      </c>
      <c r="F21" s="179">
        <f t="shared" si="4"/>
        <v>13228.331791669632</v>
      </c>
      <c r="H21" s="10" t="s">
        <v>8</v>
      </c>
      <c r="I21" s="164">
        <f>SUM(I16:I20)</f>
        <v>2666.3264249996664</v>
      </c>
      <c r="J21" s="164">
        <f t="shared" ref="J21:N21" si="6">SUM(J16:J20)</f>
        <v>1075.4434583333</v>
      </c>
      <c r="K21" s="164">
        <f t="shared" si="6"/>
        <v>2056.4427916660002</v>
      </c>
      <c r="L21" s="164">
        <f t="shared" si="6"/>
        <v>64.790833333359998</v>
      </c>
      <c r="M21" s="164">
        <f t="shared" si="6"/>
        <v>30.256666666699999</v>
      </c>
      <c r="N21" s="164">
        <f t="shared" si="6"/>
        <v>5893.2601749990272</v>
      </c>
    </row>
    <row r="22" spans="2:18" x14ac:dyDescent="0.25">
      <c r="B22" s="29">
        <v>2012</v>
      </c>
      <c r="C22" s="178"/>
      <c r="D22" s="178"/>
      <c r="E22" s="178"/>
      <c r="F22" s="182"/>
      <c r="H22" s="134">
        <v>2012</v>
      </c>
      <c r="I22" s="150"/>
      <c r="J22" s="150"/>
      <c r="K22" s="150"/>
      <c r="L22" s="150"/>
      <c r="M22" s="150"/>
      <c r="N22" s="150"/>
    </row>
    <row r="23" spans="2:18" x14ac:dyDescent="0.25">
      <c r="B23" s="10" t="s">
        <v>5</v>
      </c>
      <c r="C23" s="162">
        <v>404.21</v>
      </c>
      <c r="D23" s="162">
        <v>120.71</v>
      </c>
      <c r="E23" s="162">
        <v>81.61</v>
      </c>
      <c r="F23" s="179">
        <f>+SUM(C23:E23)</f>
        <v>606.53</v>
      </c>
      <c r="H23" s="10" t="s">
        <v>5</v>
      </c>
      <c r="I23" s="150">
        <v>69.84</v>
      </c>
      <c r="J23" s="150">
        <v>119.84</v>
      </c>
      <c r="K23" s="150">
        <v>214.1</v>
      </c>
      <c r="L23" s="150">
        <v>0.05</v>
      </c>
      <c r="M23" s="150">
        <v>0.38</v>
      </c>
      <c r="N23" s="179">
        <f>+SUM(I23:M23)</f>
        <v>404.21</v>
      </c>
    </row>
    <row r="24" spans="2:18" x14ac:dyDescent="0.25">
      <c r="B24" s="10" t="s">
        <v>177</v>
      </c>
      <c r="C24" s="162">
        <v>3561.34</v>
      </c>
      <c r="D24" s="162">
        <v>2439.9</v>
      </c>
      <c r="E24" s="162">
        <v>817.86</v>
      </c>
      <c r="F24" s="179">
        <f>+SUM(C24:E24)</f>
        <v>6819.0999999999995</v>
      </c>
      <c r="H24" s="10" t="s">
        <v>177</v>
      </c>
      <c r="I24" s="150">
        <v>2189.8000000000002</v>
      </c>
      <c r="J24" s="150">
        <v>609.24</v>
      </c>
      <c r="K24" s="150">
        <v>742.74</v>
      </c>
      <c r="L24" s="150">
        <v>12.46</v>
      </c>
      <c r="M24" s="150">
        <v>7.1</v>
      </c>
      <c r="N24" s="179">
        <f t="shared" ref="N24:N27" si="7">+SUM(I24:M24)</f>
        <v>3561.3399999999997</v>
      </c>
    </row>
    <row r="25" spans="2:18" x14ac:dyDescent="0.25">
      <c r="B25" s="10" t="s">
        <v>6</v>
      </c>
      <c r="C25" s="162">
        <v>738.13</v>
      </c>
      <c r="D25" s="162">
        <v>846.28</v>
      </c>
      <c r="E25" s="162">
        <v>399.61</v>
      </c>
      <c r="F25" s="179">
        <f>+SUM(C25:E25)</f>
        <v>1984.02</v>
      </c>
      <c r="H25" s="10" t="s">
        <v>6</v>
      </c>
      <c r="I25" s="150">
        <v>278.19</v>
      </c>
      <c r="J25" s="150">
        <v>172.8</v>
      </c>
      <c r="K25" s="150">
        <v>263.72000000000003</v>
      </c>
      <c r="L25" s="150">
        <v>14.86</v>
      </c>
      <c r="M25" s="150">
        <v>8.56</v>
      </c>
      <c r="N25" s="179">
        <f t="shared" si="7"/>
        <v>738.13</v>
      </c>
    </row>
    <row r="26" spans="2:18" x14ac:dyDescent="0.25">
      <c r="B26" s="10" t="s">
        <v>7</v>
      </c>
      <c r="C26" s="162">
        <f>2027.33</f>
        <v>2027.33</v>
      </c>
      <c r="D26" s="162">
        <f>1678.68</f>
        <v>1678.68</v>
      </c>
      <c r="E26" s="162">
        <f>1030.64</f>
        <v>1030.6400000000001</v>
      </c>
      <c r="F26" s="179">
        <f>+SUM(C26:E26)</f>
        <v>4736.6500000000005</v>
      </c>
      <c r="H26" s="10" t="s">
        <v>7</v>
      </c>
      <c r="I26" s="150">
        <v>183.67</v>
      </c>
      <c r="J26" s="150">
        <v>247.2</v>
      </c>
      <c r="K26" s="150">
        <v>1448.85</v>
      </c>
      <c r="L26" s="150">
        <v>124.56</v>
      </c>
      <c r="M26" s="150">
        <v>23.05</v>
      </c>
      <c r="N26" s="179">
        <f t="shared" si="7"/>
        <v>2027.3299999999997</v>
      </c>
      <c r="P26" s="139"/>
      <c r="Q26" s="139"/>
      <c r="R26" s="139"/>
    </row>
    <row r="27" spans="2:18" x14ac:dyDescent="0.25">
      <c r="B27" s="10" t="s">
        <v>178</v>
      </c>
      <c r="C27" s="162">
        <v>67</v>
      </c>
      <c r="D27" s="162">
        <v>279</v>
      </c>
      <c r="E27" s="162">
        <v>139</v>
      </c>
      <c r="F27" s="179">
        <f>+SUM(C27:E27)</f>
        <v>485</v>
      </c>
      <c r="H27" s="10" t="s">
        <v>178</v>
      </c>
      <c r="I27" s="150">
        <v>43</v>
      </c>
      <c r="J27" s="150">
        <v>6</v>
      </c>
      <c r="K27" s="150">
        <v>18</v>
      </c>
      <c r="L27" s="150">
        <v>0</v>
      </c>
      <c r="M27" s="150">
        <v>0</v>
      </c>
      <c r="N27" s="179">
        <f t="shared" si="7"/>
        <v>67</v>
      </c>
      <c r="P27" s="139"/>
      <c r="Q27" s="139"/>
      <c r="R27" s="139"/>
    </row>
    <row r="28" spans="2:18" x14ac:dyDescent="0.25">
      <c r="B28" s="11" t="s">
        <v>8</v>
      </c>
      <c r="C28" s="164">
        <f>+SUM(C23:C27)</f>
        <v>6798.01</v>
      </c>
      <c r="D28" s="164">
        <f>+SUM(D23:D27)</f>
        <v>5364.5700000000006</v>
      </c>
      <c r="E28" s="164">
        <f>+SUM(E23:E27)</f>
        <v>2468.7200000000003</v>
      </c>
      <c r="F28" s="164">
        <f>+SUM(F23:F27)</f>
        <v>14631.3</v>
      </c>
      <c r="H28" s="11" t="s">
        <v>8</v>
      </c>
      <c r="I28" s="164">
        <f>+SUM(I23:I27)</f>
        <v>2764.5000000000005</v>
      </c>
      <c r="J28" s="164">
        <f>+SUM(J23:J27)</f>
        <v>1155.0800000000002</v>
      </c>
      <c r="K28" s="164">
        <f>+SUM(K23:K27)</f>
        <v>2687.41</v>
      </c>
      <c r="L28" s="164">
        <f>+SUM(L23:L27)</f>
        <v>151.93</v>
      </c>
      <c r="M28" s="164">
        <f t="shared" ref="M28:N28" si="8">+SUM(M23:M27)</f>
        <v>39.090000000000003</v>
      </c>
      <c r="N28" s="164">
        <f t="shared" si="8"/>
        <v>6798.0099999999993</v>
      </c>
      <c r="P28" s="139"/>
      <c r="Q28" s="139"/>
      <c r="R28" s="139"/>
    </row>
    <row r="29" spans="2:18" x14ac:dyDescent="0.25">
      <c r="B29" s="33">
        <v>2011</v>
      </c>
      <c r="C29" s="162"/>
      <c r="D29" s="162"/>
      <c r="E29" s="162"/>
      <c r="F29" s="179"/>
      <c r="H29" s="133">
        <v>2011</v>
      </c>
      <c r="I29" s="150"/>
      <c r="J29" s="150"/>
      <c r="K29" s="150"/>
      <c r="L29" s="150"/>
      <c r="M29" s="150"/>
      <c r="N29" s="150"/>
      <c r="P29" s="139"/>
      <c r="Q29" s="139"/>
      <c r="R29" s="139"/>
    </row>
    <row r="30" spans="2:18" x14ac:dyDescent="0.25">
      <c r="B30" s="10" t="s">
        <v>5</v>
      </c>
      <c r="C30" s="162">
        <v>336.61</v>
      </c>
      <c r="D30" s="162">
        <v>92.13</v>
      </c>
      <c r="E30" s="162">
        <v>75.22</v>
      </c>
      <c r="F30" s="179">
        <f>+SUM(C30:E30)</f>
        <v>503.96000000000004</v>
      </c>
      <c r="H30" s="10" t="s">
        <v>5</v>
      </c>
      <c r="I30" s="150">
        <v>56.28</v>
      </c>
      <c r="J30" s="150">
        <v>103.74</v>
      </c>
      <c r="K30" s="150">
        <v>176.16</v>
      </c>
      <c r="L30" s="150">
        <v>0.05</v>
      </c>
      <c r="M30" s="150">
        <v>0.38</v>
      </c>
      <c r="N30" s="179">
        <f>+SUM(I30:M30)</f>
        <v>336.60999999999996</v>
      </c>
      <c r="P30" s="139"/>
      <c r="Q30" s="139"/>
      <c r="R30" s="139"/>
    </row>
    <row r="31" spans="2:18" x14ac:dyDescent="0.25">
      <c r="B31" s="10" t="s">
        <v>177</v>
      </c>
      <c r="C31" s="162">
        <v>3294.5</v>
      </c>
      <c r="D31" s="162">
        <v>2149.96</v>
      </c>
      <c r="E31" s="162">
        <v>778.31</v>
      </c>
      <c r="F31" s="179">
        <f>+SUM(C31:E31)</f>
        <v>6222.77</v>
      </c>
      <c r="H31" s="10" t="s">
        <v>177</v>
      </c>
      <c r="I31" s="150">
        <v>2023.13</v>
      </c>
      <c r="J31" s="150">
        <v>561.41</v>
      </c>
      <c r="K31" s="150">
        <v>689.3</v>
      </c>
      <c r="L31" s="150">
        <v>12.16</v>
      </c>
      <c r="M31" s="150">
        <v>8.5</v>
      </c>
      <c r="N31" s="179">
        <f t="shared" ref="N31:N34" si="9">+SUM(I31:M31)</f>
        <v>3294.5</v>
      </c>
      <c r="P31" s="139"/>
      <c r="Q31" s="139"/>
      <c r="R31" s="139"/>
    </row>
    <row r="32" spans="2:18" x14ac:dyDescent="0.25">
      <c r="B32" s="10" t="s">
        <v>6</v>
      </c>
      <c r="C32" s="162">
        <v>630.83000000000004</v>
      </c>
      <c r="D32" s="162">
        <v>696.58</v>
      </c>
      <c r="E32" s="162">
        <v>387.35</v>
      </c>
      <c r="F32" s="179">
        <f>+SUM(C32:E32)</f>
        <v>1714.7600000000002</v>
      </c>
      <c r="H32" s="10" t="s">
        <v>6</v>
      </c>
      <c r="I32" s="150">
        <v>269.74</v>
      </c>
      <c r="J32" s="150">
        <v>117.47</v>
      </c>
      <c r="K32" s="150">
        <v>239.81</v>
      </c>
      <c r="L32" s="150">
        <v>3.3</v>
      </c>
      <c r="M32" s="150">
        <v>0.51</v>
      </c>
      <c r="N32" s="179">
        <f t="shared" si="9"/>
        <v>630.82999999999993</v>
      </c>
      <c r="P32" s="139"/>
      <c r="Q32" s="139"/>
      <c r="R32" s="139"/>
    </row>
    <row r="33" spans="2:18" x14ac:dyDescent="0.25">
      <c r="B33" s="10" t="s">
        <v>7</v>
      </c>
      <c r="C33" s="162">
        <f>1752.46</f>
        <v>1752.46</v>
      </c>
      <c r="D33" s="162">
        <f>1421.15</f>
        <v>1421.15</v>
      </c>
      <c r="E33" s="162">
        <f>966.946</f>
        <v>966.94600000000003</v>
      </c>
      <c r="F33" s="179">
        <f>+SUM(C33:E33)</f>
        <v>4140.5560000000005</v>
      </c>
      <c r="H33" s="10" t="s">
        <v>7</v>
      </c>
      <c r="I33" s="150">
        <v>151.34</v>
      </c>
      <c r="J33" s="150">
        <v>198.53</v>
      </c>
      <c r="K33" s="150">
        <v>1271.8800000000001</v>
      </c>
      <c r="L33" s="150">
        <v>108.29</v>
      </c>
      <c r="M33" s="150">
        <v>22.42</v>
      </c>
      <c r="N33" s="179">
        <f t="shared" si="9"/>
        <v>1752.46</v>
      </c>
      <c r="P33" s="139"/>
      <c r="Q33" s="139"/>
      <c r="R33" s="139"/>
    </row>
    <row r="34" spans="2:18" x14ac:dyDescent="0.25">
      <c r="B34" s="10" t="s">
        <v>178</v>
      </c>
      <c r="C34" s="162">
        <v>64</v>
      </c>
      <c r="D34" s="162">
        <v>270</v>
      </c>
      <c r="E34" s="162">
        <v>136</v>
      </c>
      <c r="F34" s="179">
        <f>+SUM(C34:E34)</f>
        <v>470</v>
      </c>
      <c r="H34" s="10" t="s">
        <v>178</v>
      </c>
      <c r="I34" s="150">
        <v>41</v>
      </c>
      <c r="J34" s="150">
        <v>5</v>
      </c>
      <c r="K34" s="150">
        <v>18</v>
      </c>
      <c r="L34" s="150">
        <v>0</v>
      </c>
      <c r="M34" s="150">
        <v>0</v>
      </c>
      <c r="N34" s="179">
        <f t="shared" si="9"/>
        <v>64</v>
      </c>
      <c r="P34" s="139"/>
      <c r="Q34" s="139"/>
      <c r="R34" s="139"/>
    </row>
    <row r="35" spans="2:18" x14ac:dyDescent="0.25">
      <c r="B35" s="11" t="s">
        <v>8</v>
      </c>
      <c r="C35" s="164">
        <f>+SUM(C30:C34)</f>
        <v>6078.4000000000005</v>
      </c>
      <c r="D35" s="164">
        <f>+SUM(D30:D34)</f>
        <v>4629.82</v>
      </c>
      <c r="E35" s="164">
        <f>+SUM(E30:E34)</f>
        <v>2343.826</v>
      </c>
      <c r="F35" s="164">
        <f>+SUM(F30:F34)</f>
        <v>13052.046000000002</v>
      </c>
      <c r="H35" s="11" t="s">
        <v>8</v>
      </c>
      <c r="I35" s="164">
        <f>+SUM(I30:I34)</f>
        <v>2541.4900000000007</v>
      </c>
      <c r="J35" s="164">
        <f>+SUM(J30:J34)</f>
        <v>986.15</v>
      </c>
      <c r="K35" s="164">
        <f>+SUM(K30:K34)</f>
        <v>2395.15</v>
      </c>
      <c r="L35" s="164">
        <f>+SUM(L30:L34)</f>
        <v>123.80000000000001</v>
      </c>
      <c r="M35" s="164">
        <f t="shared" ref="M35" si="10">+SUM(M30:M34)</f>
        <v>31.810000000000002</v>
      </c>
      <c r="N35" s="164">
        <f t="shared" ref="N35" si="11">+SUM(N30:N34)</f>
        <v>6078.4000000000005</v>
      </c>
      <c r="P35" s="139"/>
      <c r="Q35" s="139"/>
      <c r="R35" s="139"/>
    </row>
    <row r="36" spans="2:18" x14ac:dyDescent="0.25">
      <c r="B36" s="33">
        <v>2010</v>
      </c>
      <c r="C36" s="162"/>
      <c r="D36" s="162"/>
      <c r="E36" s="162"/>
      <c r="F36" s="179"/>
      <c r="H36" s="133">
        <v>2010</v>
      </c>
      <c r="I36" s="150"/>
      <c r="J36" s="150"/>
      <c r="K36" s="150"/>
      <c r="L36" s="150"/>
      <c r="M36" s="150"/>
      <c r="N36" s="150"/>
      <c r="P36" s="139"/>
      <c r="Q36" s="139"/>
      <c r="R36" s="139"/>
    </row>
    <row r="37" spans="2:18" x14ac:dyDescent="0.25">
      <c r="B37" s="10" t="s">
        <v>5</v>
      </c>
      <c r="C37" s="162">
        <v>291.88</v>
      </c>
      <c r="D37" s="162">
        <v>81.099999999999994</v>
      </c>
      <c r="E37" s="162">
        <v>30.74</v>
      </c>
      <c r="F37" s="179">
        <f>+SUM(C37:E37)</f>
        <v>403.72</v>
      </c>
      <c r="H37" s="10" t="s">
        <v>5</v>
      </c>
      <c r="I37" s="150">
        <v>46.4</v>
      </c>
      <c r="J37" s="150">
        <v>59.58</v>
      </c>
      <c r="K37" s="150">
        <v>179.9</v>
      </c>
      <c r="L37" s="150">
        <v>2</v>
      </c>
      <c r="M37" s="150">
        <v>4</v>
      </c>
      <c r="N37" s="179">
        <f>+SUM(I37:M37)</f>
        <v>291.88</v>
      </c>
      <c r="P37" s="139"/>
      <c r="Q37" s="139"/>
      <c r="R37" s="139"/>
    </row>
    <row r="38" spans="2:18" x14ac:dyDescent="0.25">
      <c r="B38" s="10" t="s">
        <v>177</v>
      </c>
      <c r="C38" s="162">
        <v>3273.9</v>
      </c>
      <c r="D38" s="162">
        <v>2134.9899999999998</v>
      </c>
      <c r="E38" s="162">
        <v>724.4</v>
      </c>
      <c r="F38" s="179">
        <f>+SUM(C38:E38)</f>
        <v>6133.2899999999991</v>
      </c>
      <c r="H38" s="10" t="s">
        <v>177</v>
      </c>
      <c r="I38" s="150">
        <v>1910.12</v>
      </c>
      <c r="J38" s="150">
        <v>648.92999999999995</v>
      </c>
      <c r="K38" s="150">
        <v>688.65</v>
      </c>
      <c r="L38" s="150">
        <v>2.7</v>
      </c>
      <c r="M38" s="150">
        <v>23.5</v>
      </c>
      <c r="N38" s="179">
        <f t="shared" ref="N38:N41" si="12">+SUM(I38:M38)</f>
        <v>3273.8999999999996</v>
      </c>
    </row>
    <row r="39" spans="2:18" x14ac:dyDescent="0.25">
      <c r="B39" s="10" t="s">
        <v>6</v>
      </c>
      <c r="C39" s="162">
        <v>576.29</v>
      </c>
      <c r="D39" s="162">
        <v>521.54999999999995</v>
      </c>
      <c r="E39" s="162">
        <v>391.09</v>
      </c>
      <c r="F39" s="179">
        <f>+SUM(C39:E39)</f>
        <v>1488.9299999999998</v>
      </c>
      <c r="H39" s="10" t="s">
        <v>6</v>
      </c>
      <c r="I39" s="150">
        <v>266.87</v>
      </c>
      <c r="J39" s="150">
        <v>125.12</v>
      </c>
      <c r="K39" s="150">
        <v>184.3</v>
      </c>
      <c r="L39" s="150">
        <v>0</v>
      </c>
      <c r="M39" s="150">
        <v>0</v>
      </c>
      <c r="N39" s="179">
        <f t="shared" si="12"/>
        <v>576.29</v>
      </c>
    </row>
    <row r="40" spans="2:18" x14ac:dyDescent="0.25">
      <c r="B40" s="10" t="s">
        <v>7</v>
      </c>
      <c r="C40" s="162">
        <v>1297.5899999999999</v>
      </c>
      <c r="D40" s="162">
        <v>1171.6400000000001</v>
      </c>
      <c r="E40" s="162">
        <v>995.87</v>
      </c>
      <c r="F40" s="179">
        <f>+SUM(C40:E40)</f>
        <v>3465.1</v>
      </c>
      <c r="H40" s="10" t="s">
        <v>7</v>
      </c>
      <c r="I40" s="150">
        <v>118.21</v>
      </c>
      <c r="J40" s="150">
        <v>140.25</v>
      </c>
      <c r="K40" s="150">
        <v>921.76</v>
      </c>
      <c r="L40" s="150">
        <v>25.37</v>
      </c>
      <c r="M40" s="150">
        <v>92</v>
      </c>
      <c r="N40" s="179">
        <f t="shared" si="12"/>
        <v>1297.5899999999999</v>
      </c>
    </row>
    <row r="41" spans="2:18" x14ac:dyDescent="0.25">
      <c r="B41" s="10" t="s">
        <v>178</v>
      </c>
      <c r="C41" s="162" t="s">
        <v>128</v>
      </c>
      <c r="D41" s="162" t="s">
        <v>128</v>
      </c>
      <c r="E41" s="162" t="s">
        <v>128</v>
      </c>
      <c r="F41" s="179">
        <f>+SUM(C41:E41)</f>
        <v>0</v>
      </c>
      <c r="H41" s="10" t="s">
        <v>178</v>
      </c>
      <c r="I41" s="150"/>
      <c r="J41" s="150"/>
      <c r="K41" s="150"/>
      <c r="L41" s="150"/>
      <c r="M41" s="150"/>
      <c r="N41" s="179">
        <f t="shared" si="12"/>
        <v>0</v>
      </c>
    </row>
    <row r="42" spans="2:18" x14ac:dyDescent="0.25">
      <c r="B42" s="11" t="s">
        <v>8</v>
      </c>
      <c r="C42" s="164">
        <f>+SUM(C37:C41)</f>
        <v>5439.66</v>
      </c>
      <c r="D42" s="164">
        <f>+SUM(D37:D41)</f>
        <v>3909.2799999999997</v>
      </c>
      <c r="E42" s="164">
        <f>+SUM(E37:E41)</f>
        <v>2142.1</v>
      </c>
      <c r="F42" s="164">
        <f>+SUM(F37:F41)</f>
        <v>11491.039999999999</v>
      </c>
      <c r="H42" s="11" t="s">
        <v>8</v>
      </c>
      <c r="I42" s="164">
        <f>+SUM(I37:I41)</f>
        <v>2341.6</v>
      </c>
      <c r="J42" s="164">
        <f>+SUM(J37:J41)</f>
        <v>973.88</v>
      </c>
      <c r="K42" s="164">
        <f>+SUM(K37:K41)</f>
        <v>1974.61</v>
      </c>
      <c r="L42" s="164">
        <f>+SUM(L37:L41)</f>
        <v>30.07</v>
      </c>
      <c r="M42" s="164">
        <f t="shared" ref="M42" si="13">+SUM(M37:M41)</f>
        <v>119.5</v>
      </c>
      <c r="N42" s="164">
        <f t="shared" ref="N42" si="14">+SUM(N37:N41)</f>
        <v>5439.66</v>
      </c>
    </row>
    <row r="43" spans="2:18" x14ac:dyDescent="0.25">
      <c r="B43" s="33">
        <v>2009</v>
      </c>
      <c r="C43" s="162"/>
      <c r="D43" s="162"/>
      <c r="E43" s="162"/>
      <c r="F43" s="179"/>
      <c r="H43" s="133">
        <v>2009</v>
      </c>
      <c r="I43" s="150"/>
      <c r="J43" s="150"/>
      <c r="K43" s="150"/>
      <c r="L43" s="150"/>
      <c r="M43" s="150"/>
      <c r="N43" s="150"/>
    </row>
    <row r="44" spans="2:18" x14ac:dyDescent="0.25">
      <c r="B44" s="10" t="s">
        <v>5</v>
      </c>
      <c r="C44" s="162">
        <v>268.67</v>
      </c>
      <c r="D44" s="162">
        <v>79.31</v>
      </c>
      <c r="E44" s="162">
        <v>27.36</v>
      </c>
      <c r="F44" s="179">
        <f>+SUM(C44:E44)</f>
        <v>375.34000000000003</v>
      </c>
      <c r="H44" s="10" t="s">
        <v>5</v>
      </c>
      <c r="I44" s="150">
        <v>42.12</v>
      </c>
      <c r="J44" s="150">
        <v>56.13</v>
      </c>
      <c r="K44" s="150">
        <v>164.42</v>
      </c>
      <c r="L44" s="150">
        <v>2</v>
      </c>
      <c r="M44" s="150">
        <v>4</v>
      </c>
      <c r="N44" s="179">
        <f>+SUM(I44:M44)</f>
        <v>268.66999999999996</v>
      </c>
    </row>
    <row r="45" spans="2:18" x14ac:dyDescent="0.25">
      <c r="B45" s="10" t="s">
        <v>177</v>
      </c>
      <c r="C45" s="162">
        <v>3007.2</v>
      </c>
      <c r="D45" s="162">
        <v>1972.18</v>
      </c>
      <c r="E45" s="162">
        <v>658.28</v>
      </c>
      <c r="F45" s="179">
        <f>+SUM(C45:E45)</f>
        <v>5637.66</v>
      </c>
      <c r="H45" s="10" t="s">
        <v>177</v>
      </c>
      <c r="I45" s="150">
        <v>1744.57</v>
      </c>
      <c r="J45" s="150">
        <v>591.05999999999995</v>
      </c>
      <c r="K45" s="150">
        <v>643.57000000000005</v>
      </c>
      <c r="L45" s="150">
        <v>1</v>
      </c>
      <c r="M45" s="150">
        <v>27</v>
      </c>
      <c r="N45" s="179">
        <f t="shared" ref="N45:N48" si="15">+SUM(I45:M45)</f>
        <v>3007.2000000000003</v>
      </c>
    </row>
    <row r="46" spans="2:18" x14ac:dyDescent="0.25">
      <c r="B46" s="10" t="s">
        <v>6</v>
      </c>
      <c r="C46" s="162">
        <v>569.57000000000005</v>
      </c>
      <c r="D46" s="162">
        <v>478.54</v>
      </c>
      <c r="E46" s="162">
        <v>423.94</v>
      </c>
      <c r="F46" s="179">
        <f>+SUM(C46:E46)</f>
        <v>1472.0500000000002</v>
      </c>
      <c r="H46" s="10" t="s">
        <v>6</v>
      </c>
      <c r="I46" s="150">
        <v>255.79</v>
      </c>
      <c r="J46" s="150">
        <v>125.52</v>
      </c>
      <c r="K46" s="150">
        <v>188.26</v>
      </c>
      <c r="L46" s="150">
        <v>0</v>
      </c>
      <c r="M46" s="150">
        <v>0</v>
      </c>
      <c r="N46" s="179">
        <f t="shared" si="15"/>
        <v>569.56999999999994</v>
      </c>
    </row>
    <row r="47" spans="2:18" x14ac:dyDescent="0.25">
      <c r="B47" s="10" t="s">
        <v>7</v>
      </c>
      <c r="C47" s="162">
        <v>1013.3</v>
      </c>
      <c r="D47" s="162">
        <v>1077.8</v>
      </c>
      <c r="E47" s="162">
        <v>853.75</v>
      </c>
      <c r="F47" s="179">
        <f>+SUM(C47:E47)</f>
        <v>2944.85</v>
      </c>
      <c r="H47" s="10" t="s">
        <v>7</v>
      </c>
      <c r="I47" s="150">
        <v>115.58</v>
      </c>
      <c r="J47" s="150">
        <v>143.05000000000001</v>
      </c>
      <c r="K47" s="150">
        <v>672.35</v>
      </c>
      <c r="L47" s="150">
        <v>21.32</v>
      </c>
      <c r="M47" s="150">
        <v>61</v>
      </c>
      <c r="N47" s="179">
        <f t="shared" si="15"/>
        <v>1013.3000000000001</v>
      </c>
    </row>
    <row r="48" spans="2:18" x14ac:dyDescent="0.25">
      <c r="B48" s="10" t="s">
        <v>178</v>
      </c>
      <c r="C48" s="162" t="s">
        <v>128</v>
      </c>
      <c r="D48" s="162" t="s">
        <v>128</v>
      </c>
      <c r="E48" s="162" t="s">
        <v>128</v>
      </c>
      <c r="F48" s="179">
        <f>+SUM(C48:E48)</f>
        <v>0</v>
      </c>
      <c r="H48" s="10" t="s">
        <v>178</v>
      </c>
      <c r="I48" s="150"/>
      <c r="J48" s="150"/>
      <c r="K48" s="150"/>
      <c r="L48" s="150"/>
      <c r="M48" s="150"/>
      <c r="N48" s="179">
        <f t="shared" si="15"/>
        <v>0</v>
      </c>
    </row>
    <row r="49" spans="2:14" x14ac:dyDescent="0.25">
      <c r="B49" s="11" t="s">
        <v>8</v>
      </c>
      <c r="C49" s="164">
        <f>+SUM(C44:C48)</f>
        <v>4858.74</v>
      </c>
      <c r="D49" s="164">
        <f>+SUM(D44:D48)</f>
        <v>3607.83</v>
      </c>
      <c r="E49" s="164">
        <f>+SUM(E44:E48)</f>
        <v>1963.33</v>
      </c>
      <c r="F49" s="164">
        <f>+SUM(F44:F48)</f>
        <v>10429.9</v>
      </c>
      <c r="H49" s="11" t="s">
        <v>8</v>
      </c>
      <c r="I49" s="164">
        <f>+SUM(I44:I48)</f>
        <v>2158.06</v>
      </c>
      <c r="J49" s="164">
        <f>+SUM(J44:J48)</f>
        <v>915.76</v>
      </c>
      <c r="K49" s="164">
        <f>+SUM(K44:K48)</f>
        <v>1668.6</v>
      </c>
      <c r="L49" s="164">
        <f>+SUM(L44:L48)</f>
        <v>24.32</v>
      </c>
      <c r="M49" s="164">
        <f t="shared" ref="M49" si="16">+SUM(M44:M48)</f>
        <v>92</v>
      </c>
      <c r="N49" s="164">
        <f t="shared" ref="N49" si="17">+SUM(N44:N48)</f>
        <v>4858.7400000000007</v>
      </c>
    </row>
    <row r="51" spans="2:14" x14ac:dyDescent="0.25">
      <c r="B51" s="202" t="s">
        <v>373</v>
      </c>
    </row>
    <row r="53" spans="2:14" x14ac:dyDescent="0.25">
      <c r="E53" s="644" t="s">
        <v>579</v>
      </c>
      <c r="F53" s="644"/>
      <c r="G53" s="644"/>
      <c r="H53" s="644"/>
      <c r="I53" s="644"/>
      <c r="K53" s="121"/>
      <c r="L53" s="121"/>
    </row>
    <row r="54" spans="2:14" ht="15.75" thickBot="1" x14ac:dyDescent="0.3">
      <c r="E54" s="7"/>
      <c r="F54" s="52" t="s">
        <v>123</v>
      </c>
      <c r="G54" s="52" t="s">
        <v>181</v>
      </c>
      <c r="H54" s="52" t="s">
        <v>125</v>
      </c>
      <c r="I54" s="52" t="s">
        <v>8</v>
      </c>
      <c r="K54" s="121"/>
      <c r="L54" s="121"/>
    </row>
    <row r="55" spans="2:14" ht="15.75" thickTop="1" x14ac:dyDescent="0.25">
      <c r="E55" s="101" t="s">
        <v>5</v>
      </c>
      <c r="F55" s="96">
        <v>768.89799100000005</v>
      </c>
      <c r="G55" s="96">
        <v>299.18584700000002</v>
      </c>
      <c r="H55" s="96">
        <v>303.87914699999999</v>
      </c>
      <c r="I55" s="489">
        <v>1371.9629850000001</v>
      </c>
      <c r="K55" s="121"/>
      <c r="L55" s="121"/>
    </row>
    <row r="56" spans="2:14" x14ac:dyDescent="0.25">
      <c r="E56" s="101" t="s">
        <v>51</v>
      </c>
      <c r="F56" s="96">
        <v>3600.402619</v>
      </c>
      <c r="G56" s="96">
        <v>2965.453008</v>
      </c>
      <c r="H56" s="96">
        <v>795.47839199999999</v>
      </c>
      <c r="I56" s="489">
        <v>7361.3340189999999</v>
      </c>
      <c r="K56" s="121"/>
      <c r="L56" s="121"/>
    </row>
    <row r="57" spans="2:14" x14ac:dyDescent="0.25">
      <c r="E57" s="101" t="s">
        <v>6</v>
      </c>
      <c r="F57" s="96">
        <v>915.27875800000004</v>
      </c>
      <c r="G57" s="96">
        <v>498.137472</v>
      </c>
      <c r="H57" s="96">
        <v>125.689145</v>
      </c>
      <c r="I57" s="489">
        <v>1539.1053750000001</v>
      </c>
      <c r="K57" s="121"/>
      <c r="L57" s="121"/>
    </row>
    <row r="58" spans="2:14" x14ac:dyDescent="0.25">
      <c r="E58" s="101" t="s">
        <v>7</v>
      </c>
      <c r="F58" s="96">
        <v>2264.5409800000002</v>
      </c>
      <c r="G58" s="96">
        <v>1385.45299</v>
      </c>
      <c r="H58" s="96">
        <v>1460.120674</v>
      </c>
      <c r="I58" s="489">
        <v>5110.1146440000002</v>
      </c>
      <c r="J58" s="121"/>
    </row>
    <row r="59" spans="2:14" x14ac:dyDescent="0.25">
      <c r="E59" s="247" t="s">
        <v>178</v>
      </c>
      <c r="F59" s="96">
        <v>52.966666666666697</v>
      </c>
      <c r="G59" s="96">
        <v>426.36666666666662</v>
      </c>
      <c r="H59" s="96">
        <v>47.833333333333336</v>
      </c>
      <c r="I59" s="97">
        <v>527.16666666666663</v>
      </c>
      <c r="J59" s="121"/>
    </row>
    <row r="60" spans="2:14" x14ac:dyDescent="0.25">
      <c r="E60" s="241" t="s">
        <v>8</v>
      </c>
      <c r="F60" s="243">
        <v>7602.0870146666675</v>
      </c>
      <c r="G60" s="243">
        <v>5574.5959836666671</v>
      </c>
      <c r="H60" s="243">
        <v>2733.0006913333336</v>
      </c>
      <c r="I60" s="243">
        <v>15909.683689666666</v>
      </c>
    </row>
    <row r="61" spans="2:14" x14ac:dyDescent="0.25">
      <c r="J61" s="121"/>
    </row>
    <row r="62" spans="2:14" x14ac:dyDescent="0.25">
      <c r="E62" s="644" t="s">
        <v>580</v>
      </c>
      <c r="F62" s="644"/>
      <c r="G62" s="644"/>
      <c r="H62" s="644"/>
      <c r="I62" s="644"/>
      <c r="J62" s="644"/>
      <c r="K62" s="644"/>
    </row>
    <row r="63" spans="2:14" ht="15.75" thickBot="1" x14ac:dyDescent="0.3">
      <c r="E63" s="7"/>
      <c r="F63" s="52" t="s">
        <v>67</v>
      </c>
      <c r="G63" s="52" t="s">
        <v>68</v>
      </c>
      <c r="H63" s="52" t="s">
        <v>69</v>
      </c>
      <c r="I63" s="52" t="s">
        <v>70</v>
      </c>
      <c r="J63" s="52" t="s">
        <v>71</v>
      </c>
      <c r="K63" s="52" t="s">
        <v>8</v>
      </c>
    </row>
    <row r="64" spans="2:14" ht="15.75" thickTop="1" x14ac:dyDescent="0.25">
      <c r="E64" s="101" t="s">
        <v>5</v>
      </c>
      <c r="F64" s="488">
        <v>157.403322</v>
      </c>
      <c r="G64" s="488">
        <v>194.21470099999999</v>
      </c>
      <c r="H64" s="488">
        <v>329.68830300000002</v>
      </c>
      <c r="I64" s="488">
        <v>66.133332999999993</v>
      </c>
      <c r="J64" s="488">
        <v>21.458331999999999</v>
      </c>
      <c r="K64" s="489">
        <v>768.89799100000005</v>
      </c>
    </row>
    <row r="65" spans="5:12" x14ac:dyDescent="0.25">
      <c r="E65" s="101" t="s">
        <v>51</v>
      </c>
      <c r="F65" s="488">
        <v>2419.1571549999999</v>
      </c>
      <c r="G65" s="488">
        <v>510.06429300000002</v>
      </c>
      <c r="H65" s="488">
        <v>639.51291300000003</v>
      </c>
      <c r="I65" s="488">
        <v>6.3516649999999997</v>
      </c>
      <c r="J65" s="488">
        <v>25.316593000000001</v>
      </c>
      <c r="K65" s="489">
        <v>3600.402619</v>
      </c>
    </row>
    <row r="66" spans="5:12" x14ac:dyDescent="0.25">
      <c r="E66" s="101" t="s">
        <v>6</v>
      </c>
      <c r="F66" s="488">
        <v>214.77540099999999</v>
      </c>
      <c r="G66" s="488">
        <v>98.066322999999997</v>
      </c>
      <c r="H66" s="488">
        <v>442.84537399999999</v>
      </c>
      <c r="I66" s="488">
        <v>155.52916500000001</v>
      </c>
      <c r="J66" s="488">
        <v>4.0624950000000002</v>
      </c>
      <c r="K66" s="489">
        <v>915.27875800000004</v>
      </c>
    </row>
    <row r="67" spans="5:12" x14ac:dyDescent="0.25">
      <c r="E67" s="101" t="s">
        <v>7</v>
      </c>
      <c r="F67" s="488">
        <v>155.746073</v>
      </c>
      <c r="G67" s="488">
        <v>306.89418899999998</v>
      </c>
      <c r="H67" s="488">
        <v>1542.515234</v>
      </c>
      <c r="I67" s="488">
        <v>171.94465199999999</v>
      </c>
      <c r="J67" s="488">
        <v>87.440832</v>
      </c>
      <c r="K67" s="489">
        <v>2264.5409799999998</v>
      </c>
    </row>
    <row r="68" spans="5:12" x14ac:dyDescent="0.25">
      <c r="E68" s="247" t="s">
        <v>178</v>
      </c>
      <c r="F68" s="488">
        <v>32.966666666666669</v>
      </c>
      <c r="G68" s="488">
        <v>6</v>
      </c>
      <c r="H68" s="488">
        <v>14</v>
      </c>
      <c r="I68" s="488">
        <v>0</v>
      </c>
      <c r="J68" s="488">
        <v>0</v>
      </c>
      <c r="K68" s="489">
        <v>52.966666666666669</v>
      </c>
    </row>
    <row r="69" spans="5:12" x14ac:dyDescent="0.25">
      <c r="E69" s="241" t="s">
        <v>8</v>
      </c>
      <c r="F69" s="243">
        <v>2980.0486176666664</v>
      </c>
      <c r="G69" s="243">
        <v>1115.2395059999999</v>
      </c>
      <c r="H69" s="243">
        <v>2968.5618239999999</v>
      </c>
      <c r="I69" s="243">
        <v>399.95881499999996</v>
      </c>
      <c r="J69" s="243">
        <v>138.27825200000001</v>
      </c>
      <c r="K69" s="243">
        <v>7602.0870146666666</v>
      </c>
    </row>
    <row r="71" spans="5:12" x14ac:dyDescent="0.25">
      <c r="E71" s="644" t="s">
        <v>129</v>
      </c>
      <c r="F71" s="644"/>
      <c r="G71" s="644"/>
      <c r="H71" s="644"/>
      <c r="I71" s="644"/>
    </row>
    <row r="72" spans="5:12" ht="15.75" thickBot="1" x14ac:dyDescent="0.3">
      <c r="E72" s="52" t="s">
        <v>123</v>
      </c>
      <c r="F72" s="52" t="s">
        <v>181</v>
      </c>
      <c r="G72" s="52" t="s">
        <v>125</v>
      </c>
      <c r="H72" s="52" t="s">
        <v>67</v>
      </c>
      <c r="I72" s="52" t="s">
        <v>68</v>
      </c>
      <c r="J72" s="52" t="s">
        <v>69</v>
      </c>
      <c r="K72" s="52" t="s">
        <v>70</v>
      </c>
      <c r="L72" s="52" t="s">
        <v>71</v>
      </c>
    </row>
    <row r="73" spans="5:12" ht="15.75" thickTop="1" x14ac:dyDescent="0.25">
      <c r="E73" s="243">
        <f>+F60</f>
        <v>7602.0870146666675</v>
      </c>
      <c r="F73" s="243">
        <f>+G60</f>
        <v>5574.5959836666671</v>
      </c>
      <c r="G73" s="243">
        <f>+H60</f>
        <v>2733.0006913333336</v>
      </c>
      <c r="H73" s="243">
        <f>+F69</f>
        <v>2980.0486176666664</v>
      </c>
      <c r="I73" s="243">
        <f t="shared" ref="I73:L73" si="18">+G69</f>
        <v>1115.2395059999999</v>
      </c>
      <c r="J73" s="243">
        <f t="shared" si="18"/>
        <v>2968.5618239999999</v>
      </c>
      <c r="K73" s="243">
        <f t="shared" si="18"/>
        <v>399.95881499999996</v>
      </c>
      <c r="L73" s="243">
        <f t="shared" si="18"/>
        <v>138.27825200000001</v>
      </c>
    </row>
    <row r="74" spans="5:12" x14ac:dyDescent="0.25">
      <c r="E74" s="498">
        <f>+E73/$I$60</f>
        <v>0.47782766539879235</v>
      </c>
      <c r="F74" s="498">
        <f>+F73/$I$60</f>
        <v>0.35039012040744499</v>
      </c>
      <c r="G74" s="498">
        <f>+G73/$I$60</f>
        <v>0.1717822141937628</v>
      </c>
      <c r="H74" s="498">
        <f>+H73/$K$69</f>
        <v>0.39200401309762362</v>
      </c>
      <c r="I74" s="498">
        <f>+I73/$K$69</f>
        <v>0.14670175490603754</v>
      </c>
      <c r="J74" s="498">
        <f>+J73/$K$69</f>
        <v>0.39049300781124568</v>
      </c>
      <c r="K74" s="498">
        <f>+K73/$K$69</f>
        <v>5.2611712313784559E-2</v>
      </c>
      <c r="L74" s="498">
        <f>+L73/$K$69</f>
        <v>1.8189511871308562E-2</v>
      </c>
    </row>
  </sheetData>
  <sheetProtection password="C69F" sheet="1" objects="1" scenarios="1"/>
  <mergeCells count="5">
    <mergeCell ref="B6:F6"/>
    <mergeCell ref="E53:I53"/>
    <mergeCell ref="E71:I71"/>
    <mergeCell ref="E62:K62"/>
    <mergeCell ref="H6:N6"/>
  </mergeCells>
  <hyperlinks>
    <hyperlink ref="A1" location="ÍNDICE!A1" display="ÍNDICE"/>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P64"/>
  <sheetViews>
    <sheetView zoomScale="90" zoomScaleNormal="90" workbookViewId="0"/>
  </sheetViews>
  <sheetFormatPr baseColWidth="10" defaultRowHeight="15" x14ac:dyDescent="0.25"/>
  <cols>
    <col min="2" max="2" width="18.140625" customWidth="1"/>
    <col min="5" max="5" width="24.5703125" bestFit="1" customWidth="1"/>
    <col min="6" max="6" width="15.7109375" bestFit="1" customWidth="1"/>
    <col min="10" max="10" width="14" bestFit="1" customWidth="1"/>
    <col min="16" max="16" width="6.5703125" customWidth="1"/>
  </cols>
  <sheetData>
    <row r="1" spans="1:16" s="54" customFormat="1" x14ac:dyDescent="0.25">
      <c r="A1" s="59" t="s">
        <v>132</v>
      </c>
    </row>
    <row r="2" spans="1:16" x14ac:dyDescent="0.25">
      <c r="A2" s="1" t="s">
        <v>431</v>
      </c>
      <c r="G2" s="149"/>
      <c r="H2" s="149"/>
      <c r="I2" s="203"/>
      <c r="J2" s="203"/>
      <c r="K2" s="149"/>
    </row>
    <row r="3" spans="1:16" s="37" customFormat="1" x14ac:dyDescent="0.25">
      <c r="A3" s="1"/>
      <c r="G3" s="149"/>
      <c r="H3" s="149"/>
      <c r="I3" s="203"/>
      <c r="J3" s="203"/>
      <c r="K3" s="149"/>
    </row>
    <row r="4" spans="1:16" s="37" customFormat="1" x14ac:dyDescent="0.25">
      <c r="A4" s="58" t="s">
        <v>103</v>
      </c>
      <c r="B4" s="37" t="s">
        <v>644</v>
      </c>
      <c r="I4" s="203"/>
      <c r="J4" s="203"/>
    </row>
    <row r="6" spans="1:16" x14ac:dyDescent="0.25">
      <c r="B6" s="644" t="s">
        <v>442</v>
      </c>
      <c r="C6" s="644"/>
      <c r="D6" s="644"/>
      <c r="E6" s="644"/>
      <c r="F6" s="644"/>
      <c r="G6" s="644"/>
      <c r="H6" s="644"/>
      <c r="I6" s="203"/>
      <c r="J6" s="239" t="s">
        <v>72</v>
      </c>
      <c r="K6" s="496">
        <f>C14/$H$14</f>
        <v>0.23988445137606151</v>
      </c>
      <c r="L6" s="496">
        <f t="shared" ref="L6:O6" si="0">D14/$H$14</f>
        <v>0.11079403757151676</v>
      </c>
      <c r="M6" s="496">
        <f t="shared" si="0"/>
        <v>0.40672641689021</v>
      </c>
      <c r="N6" s="496">
        <f t="shared" si="0"/>
        <v>0.11778994766915617</v>
      </c>
      <c r="O6" s="496">
        <f t="shared" si="0"/>
        <v>0.12480514649305553</v>
      </c>
      <c r="P6" s="496">
        <v>1</v>
      </c>
    </row>
    <row r="7" spans="1:16" ht="15.75" thickBot="1" x14ac:dyDescent="0.3">
      <c r="B7" s="7"/>
      <c r="C7" s="160" t="s">
        <v>67</v>
      </c>
      <c r="D7" s="160" t="s">
        <v>68</v>
      </c>
      <c r="E7" s="160" t="s">
        <v>69</v>
      </c>
      <c r="F7" s="160" t="s">
        <v>70</v>
      </c>
      <c r="G7" s="160" t="s">
        <v>71</v>
      </c>
      <c r="H7" s="160" t="s">
        <v>2</v>
      </c>
    </row>
    <row r="8" spans="1:16" s="138" customFormat="1" ht="15.75" thickTop="1" x14ac:dyDescent="0.25">
      <c r="B8" s="173" t="s">
        <v>447</v>
      </c>
      <c r="C8" s="162"/>
      <c r="D8" s="162"/>
      <c r="E8" s="162"/>
      <c r="F8" s="162"/>
      <c r="G8" s="162"/>
      <c r="H8" s="162"/>
    </row>
    <row r="9" spans="1:16" x14ac:dyDescent="0.25">
      <c r="B9" s="157" t="s">
        <v>5</v>
      </c>
      <c r="C9" s="162">
        <v>191.49998500000001</v>
      </c>
      <c r="D9" s="162">
        <v>309.10413199999999</v>
      </c>
      <c r="E9" s="162">
        <v>813.04159900000002</v>
      </c>
      <c r="F9" s="162">
        <v>313.56249600000001</v>
      </c>
      <c r="G9" s="162">
        <v>250.87498500000001</v>
      </c>
      <c r="H9" s="162">
        <f>SUM(C9:G9)</f>
        <v>1878.0831969999999</v>
      </c>
    </row>
    <row r="10" spans="1:16" x14ac:dyDescent="0.25">
      <c r="B10" s="157" t="s">
        <v>51</v>
      </c>
      <c r="C10" s="162">
        <v>4995.083036</v>
      </c>
      <c r="D10" s="162">
        <v>1571.4164940000001</v>
      </c>
      <c r="E10" s="162">
        <v>4590.3121650000003</v>
      </c>
      <c r="F10" s="162">
        <v>888.68745899999999</v>
      </c>
      <c r="G10" s="162">
        <v>728.06240400000002</v>
      </c>
      <c r="H10" s="162">
        <f t="shared" ref="H10:H12" si="1">SUM(C10:G10)</f>
        <v>12773.561558000001</v>
      </c>
    </row>
    <row r="11" spans="1:16" x14ac:dyDescent="0.25">
      <c r="B11" s="157" t="s">
        <v>6</v>
      </c>
      <c r="C11" s="162">
        <v>238.81247999999999</v>
      </c>
      <c r="D11" s="162">
        <v>154.79164800000001</v>
      </c>
      <c r="E11" s="162">
        <v>1088.666592</v>
      </c>
      <c r="F11" s="162">
        <v>378.29165899999998</v>
      </c>
      <c r="G11" s="162">
        <v>79.354152999999997</v>
      </c>
      <c r="H11" s="162">
        <f t="shared" si="1"/>
        <v>1939.916532</v>
      </c>
    </row>
    <row r="12" spans="1:16" x14ac:dyDescent="0.25">
      <c r="B12" s="157" t="s">
        <v>7</v>
      </c>
      <c r="C12" s="162">
        <v>209.29164499999999</v>
      </c>
      <c r="D12" s="162">
        <v>537.43746899999996</v>
      </c>
      <c r="E12" s="162">
        <v>2992.8331920000001</v>
      </c>
      <c r="F12" s="162">
        <v>978.02080000000001</v>
      </c>
      <c r="G12" s="162">
        <v>1873.708298</v>
      </c>
      <c r="H12" s="162">
        <f t="shared" si="1"/>
        <v>6591.2914039999996</v>
      </c>
    </row>
    <row r="13" spans="1:16" s="138" customFormat="1" x14ac:dyDescent="0.25">
      <c r="B13" s="157" t="s">
        <v>178</v>
      </c>
      <c r="C13" s="162">
        <v>62.3333333333333</v>
      </c>
      <c r="D13" s="162">
        <v>58.5</v>
      </c>
      <c r="E13" s="162">
        <v>174.5</v>
      </c>
      <c r="F13" s="162">
        <v>238.83333333333334</v>
      </c>
      <c r="G13" s="162">
        <v>32</v>
      </c>
      <c r="H13" s="162">
        <f>SUM(C13:G13)</f>
        <v>566.16666666666663</v>
      </c>
    </row>
    <row r="14" spans="1:16" x14ac:dyDescent="0.25">
      <c r="B14" s="159" t="s">
        <v>8</v>
      </c>
      <c r="C14" s="164">
        <f t="shared" ref="C14:H14" si="2">SUM(C9:C13)</f>
        <v>5697.0204793333332</v>
      </c>
      <c r="D14" s="164">
        <f t="shared" si="2"/>
        <v>2631.2497429999999</v>
      </c>
      <c r="E14" s="164">
        <f t="shared" si="2"/>
        <v>9659.353548000001</v>
      </c>
      <c r="F14" s="164">
        <f t="shared" si="2"/>
        <v>2797.3957473333335</v>
      </c>
      <c r="G14" s="164">
        <f t="shared" si="2"/>
        <v>2963.9998399999999</v>
      </c>
      <c r="H14" s="164">
        <f t="shared" si="2"/>
        <v>23749.019357666668</v>
      </c>
    </row>
    <row r="15" spans="1:16" x14ac:dyDescent="0.25">
      <c r="B15" s="173">
        <v>2013</v>
      </c>
      <c r="C15" s="162"/>
      <c r="D15" s="162"/>
      <c r="E15" s="162"/>
      <c r="F15" s="162"/>
      <c r="G15" s="162"/>
      <c r="H15" s="162"/>
    </row>
    <row r="16" spans="1:16" x14ac:dyDescent="0.25">
      <c r="B16" s="157" t="s">
        <v>5</v>
      </c>
      <c r="C16" s="162">
        <f>187.18</f>
        <v>187.18</v>
      </c>
      <c r="D16" s="162">
        <v>393.133333333</v>
      </c>
      <c r="E16" s="162">
        <v>769.35</v>
      </c>
      <c r="F16" s="162">
        <v>259.68333333300001</v>
      </c>
      <c r="G16" s="162">
        <v>362.52</v>
      </c>
      <c r="H16" s="162">
        <f>SUM(C16:G16)</f>
        <v>1971.8666666660001</v>
      </c>
    </row>
    <row r="17" spans="2:8" x14ac:dyDescent="0.25">
      <c r="B17" s="157" t="s">
        <v>51</v>
      </c>
      <c r="C17" s="162">
        <v>4470.8641666699996</v>
      </c>
      <c r="D17" s="162">
        <v>1489.12166667</v>
      </c>
      <c r="E17" s="162">
        <v>3302.51333333</v>
      </c>
      <c r="F17" s="162">
        <v>737.54166666699996</v>
      </c>
      <c r="G17" s="162">
        <v>1057.8341666700001</v>
      </c>
      <c r="H17" s="162">
        <f t="shared" ref="H17:H19" si="3">SUM(C17:G17)</f>
        <v>11057.875000007001</v>
      </c>
    </row>
    <row r="18" spans="2:8" x14ac:dyDescent="0.25">
      <c r="B18" s="157" t="s">
        <v>6</v>
      </c>
      <c r="C18" s="162">
        <v>218.22916666699999</v>
      </c>
      <c r="D18" s="162">
        <v>111.59666666699999</v>
      </c>
      <c r="E18" s="162">
        <v>547.41166666699996</v>
      </c>
      <c r="F18" s="162">
        <v>73.13</v>
      </c>
      <c r="G18" s="162">
        <v>77.92</v>
      </c>
      <c r="H18" s="162">
        <f t="shared" si="3"/>
        <v>1028.2875000009999</v>
      </c>
    </row>
    <row r="19" spans="2:8" x14ac:dyDescent="0.25">
      <c r="B19" s="157" t="s">
        <v>7</v>
      </c>
      <c r="C19" s="162">
        <v>208.32</v>
      </c>
      <c r="D19" s="162">
        <v>430.25</v>
      </c>
      <c r="E19" s="162">
        <v>2429.6366666700001</v>
      </c>
      <c r="F19" s="162">
        <v>740.62</v>
      </c>
      <c r="G19" s="162">
        <v>1078.3699999999999</v>
      </c>
      <c r="H19" s="162">
        <f t="shared" si="3"/>
        <v>4887.19666667</v>
      </c>
    </row>
    <row r="20" spans="2:8" x14ac:dyDescent="0.25">
      <c r="B20" s="157" t="s">
        <v>178</v>
      </c>
      <c r="C20" s="162">
        <v>60.333333333333336</v>
      </c>
      <c r="D20" s="162">
        <v>58.333333333333329</v>
      </c>
      <c r="E20" s="162">
        <v>191.33333333333334</v>
      </c>
      <c r="F20" s="162">
        <v>114.83333333333334</v>
      </c>
      <c r="G20" s="162">
        <v>51</v>
      </c>
      <c r="H20" s="162">
        <f>SUM(C20:G20)</f>
        <v>475.83333333333337</v>
      </c>
    </row>
    <row r="21" spans="2:8" x14ac:dyDescent="0.25">
      <c r="B21" s="159" t="s">
        <v>8</v>
      </c>
      <c r="C21" s="164">
        <f>SUM(C16:C20)</f>
        <v>5144.9266666703325</v>
      </c>
      <c r="D21" s="164">
        <f t="shared" ref="D21:G21" si="4">SUM(D16:D20)</f>
        <v>2482.4350000033332</v>
      </c>
      <c r="E21" s="164">
        <f t="shared" si="4"/>
        <v>7240.2450000003328</v>
      </c>
      <c r="F21" s="164">
        <f t="shared" si="4"/>
        <v>1925.8083333333332</v>
      </c>
      <c r="G21" s="164">
        <f t="shared" si="4"/>
        <v>2627.6441666700002</v>
      </c>
      <c r="H21" s="164">
        <f>SUM(H16:H20)</f>
        <v>19421.059166677333</v>
      </c>
    </row>
    <row r="22" spans="2:8" x14ac:dyDescent="0.25">
      <c r="B22" s="172">
        <v>2012</v>
      </c>
      <c r="C22" s="178"/>
      <c r="D22" s="178"/>
      <c r="E22" s="178"/>
      <c r="F22" s="178"/>
      <c r="G22" s="178"/>
      <c r="H22" s="182"/>
    </row>
    <row r="23" spans="2:8" x14ac:dyDescent="0.25">
      <c r="B23" s="157" t="s">
        <v>5</v>
      </c>
      <c r="C23" s="167">
        <v>100.76</v>
      </c>
      <c r="D23" s="167">
        <v>170.07</v>
      </c>
      <c r="E23" s="167">
        <v>369.67</v>
      </c>
      <c r="F23" s="167">
        <v>84.48</v>
      </c>
      <c r="G23" s="167">
        <v>66.680000000000007</v>
      </c>
      <c r="H23" s="179">
        <f>SUM(C23:G23)</f>
        <v>791.66000000000008</v>
      </c>
    </row>
    <row r="24" spans="2:8" x14ac:dyDescent="0.25">
      <c r="B24" s="157" t="s">
        <v>51</v>
      </c>
      <c r="C24" s="167">
        <v>4246.09</v>
      </c>
      <c r="D24" s="167">
        <v>1439.91</v>
      </c>
      <c r="E24" s="167">
        <v>3438.57</v>
      </c>
      <c r="F24" s="167">
        <v>1360.33</v>
      </c>
      <c r="G24" s="167">
        <v>968</v>
      </c>
      <c r="H24" s="179">
        <f t="shared" ref="H24:H27" si="5">SUM(C24:G24)</f>
        <v>11452.9</v>
      </c>
    </row>
    <row r="25" spans="2:8" x14ac:dyDescent="0.25">
      <c r="B25" s="157" t="s">
        <v>6</v>
      </c>
      <c r="C25" s="167">
        <v>323.02</v>
      </c>
      <c r="D25" s="167">
        <v>228.01</v>
      </c>
      <c r="E25" s="167">
        <v>798.95</v>
      </c>
      <c r="F25" s="167">
        <v>405.84</v>
      </c>
      <c r="G25" s="167">
        <v>467.66</v>
      </c>
      <c r="H25" s="179">
        <f t="shared" si="5"/>
        <v>2223.48</v>
      </c>
    </row>
    <row r="26" spans="2:8" x14ac:dyDescent="0.25">
      <c r="B26" s="157" t="s">
        <v>7</v>
      </c>
      <c r="C26" s="167">
        <v>253.2</v>
      </c>
      <c r="D26" s="167">
        <v>351.35</v>
      </c>
      <c r="E26" s="167">
        <v>2784.18</v>
      </c>
      <c r="F26" s="167">
        <v>1285.05</v>
      </c>
      <c r="G26" s="167">
        <v>1321.23</v>
      </c>
      <c r="H26" s="179">
        <f t="shared" si="5"/>
        <v>5995.01</v>
      </c>
    </row>
    <row r="27" spans="2:8" x14ac:dyDescent="0.25">
      <c r="B27" s="157" t="s">
        <v>178</v>
      </c>
      <c r="C27" s="162">
        <v>71</v>
      </c>
      <c r="D27" s="162">
        <v>77</v>
      </c>
      <c r="E27" s="162">
        <v>198</v>
      </c>
      <c r="F27" s="162">
        <v>111</v>
      </c>
      <c r="G27" s="162">
        <v>35</v>
      </c>
      <c r="H27" s="179">
        <f t="shared" si="5"/>
        <v>492</v>
      </c>
    </row>
    <row r="28" spans="2:8" x14ac:dyDescent="0.25">
      <c r="B28" s="159" t="s">
        <v>8</v>
      </c>
      <c r="C28" s="164">
        <f>SUM(C23:C27)</f>
        <v>4994.0700000000006</v>
      </c>
      <c r="D28" s="164">
        <f t="shared" ref="D28:H28" si="6">SUM(D23:D27)</f>
        <v>2266.34</v>
      </c>
      <c r="E28" s="164">
        <f t="shared" si="6"/>
        <v>7589.3700000000008</v>
      </c>
      <c r="F28" s="164">
        <f t="shared" si="6"/>
        <v>3246.7</v>
      </c>
      <c r="G28" s="164">
        <f t="shared" si="6"/>
        <v>2858.57</v>
      </c>
      <c r="H28" s="164">
        <f t="shared" si="6"/>
        <v>20955.05</v>
      </c>
    </row>
    <row r="29" spans="2:8" x14ac:dyDescent="0.25">
      <c r="B29" s="172">
        <v>2011</v>
      </c>
      <c r="C29" s="178"/>
      <c r="D29" s="178"/>
      <c r="E29" s="178"/>
      <c r="F29" s="178"/>
      <c r="G29" s="178"/>
      <c r="H29" s="182"/>
    </row>
    <row r="30" spans="2:8" x14ac:dyDescent="0.25">
      <c r="B30" s="157" t="s">
        <v>5</v>
      </c>
      <c r="C30" s="167">
        <v>87.17</v>
      </c>
      <c r="D30" s="167">
        <v>135.91999999999999</v>
      </c>
      <c r="E30" s="167">
        <v>309.52999999999997</v>
      </c>
      <c r="F30" s="167">
        <v>77.14</v>
      </c>
      <c r="G30" s="167">
        <v>50.07</v>
      </c>
      <c r="H30" s="179">
        <f>SUM(C30:G30)</f>
        <v>659.82999999999993</v>
      </c>
    </row>
    <row r="31" spans="2:8" x14ac:dyDescent="0.25">
      <c r="B31" s="157" t="s">
        <v>51</v>
      </c>
      <c r="C31" s="167">
        <v>3882.62</v>
      </c>
      <c r="D31" s="167">
        <v>1371.86</v>
      </c>
      <c r="E31" s="167">
        <v>3045.83</v>
      </c>
      <c r="F31" s="167">
        <v>1294.5999999999999</v>
      </c>
      <c r="G31" s="167">
        <v>929.02</v>
      </c>
      <c r="H31" s="179">
        <f t="shared" ref="H31:H34" si="7">SUM(C31:G31)</f>
        <v>10523.93</v>
      </c>
    </row>
    <row r="32" spans="2:8" x14ac:dyDescent="0.25">
      <c r="B32" s="157" t="s">
        <v>6</v>
      </c>
      <c r="C32" s="167">
        <v>314.20999999999998</v>
      </c>
      <c r="D32" s="167">
        <v>155.26</v>
      </c>
      <c r="E32" s="167">
        <v>656.39</v>
      </c>
      <c r="F32" s="167">
        <v>334.48</v>
      </c>
      <c r="G32" s="167">
        <v>491.39</v>
      </c>
      <c r="H32" s="179">
        <f t="shared" si="7"/>
        <v>1951.73</v>
      </c>
    </row>
    <row r="33" spans="2:9" x14ac:dyDescent="0.25">
      <c r="B33" s="157" t="s">
        <v>7</v>
      </c>
      <c r="C33" s="167">
        <v>197.52</v>
      </c>
      <c r="D33" s="167">
        <v>283.81</v>
      </c>
      <c r="E33" s="167">
        <v>2366.34</v>
      </c>
      <c r="F33" s="167">
        <v>1145.48</v>
      </c>
      <c r="G33" s="167">
        <v>1175.81</v>
      </c>
      <c r="H33" s="179">
        <f t="shared" si="7"/>
        <v>5168.96</v>
      </c>
    </row>
    <row r="34" spans="2:9" x14ac:dyDescent="0.25">
      <c r="B34" s="157" t="s">
        <v>178</v>
      </c>
      <c r="C34" s="162">
        <v>67</v>
      </c>
      <c r="D34" s="162">
        <v>71</v>
      </c>
      <c r="E34" s="162">
        <v>194</v>
      </c>
      <c r="F34" s="162">
        <v>110</v>
      </c>
      <c r="G34" s="162">
        <v>35</v>
      </c>
      <c r="H34" s="179">
        <f t="shared" si="7"/>
        <v>477</v>
      </c>
    </row>
    <row r="35" spans="2:9" x14ac:dyDescent="0.25">
      <c r="B35" s="159" t="s">
        <v>179</v>
      </c>
      <c r="C35" s="164">
        <f>SUM(C30:C34)</f>
        <v>4548.5200000000004</v>
      </c>
      <c r="D35" s="164">
        <f t="shared" ref="D35" si="8">SUM(D30:D34)</f>
        <v>2017.85</v>
      </c>
      <c r="E35" s="164">
        <f t="shared" ref="E35" si="9">SUM(E30:E34)</f>
        <v>6572.09</v>
      </c>
      <c r="F35" s="164">
        <f t="shared" ref="F35" si="10">SUM(F30:F34)</f>
        <v>2961.7</v>
      </c>
      <c r="G35" s="164">
        <f t="shared" ref="G35" si="11">SUM(G30:G34)</f>
        <v>2681.29</v>
      </c>
      <c r="H35" s="164">
        <f t="shared" ref="H35" si="12">SUM(H30:H34)</f>
        <v>18781.45</v>
      </c>
    </row>
    <row r="36" spans="2:9" x14ac:dyDescent="0.25">
      <c r="B36" s="172">
        <v>2010</v>
      </c>
      <c r="C36" s="178"/>
      <c r="D36" s="178"/>
      <c r="E36" s="178"/>
      <c r="F36" s="178"/>
      <c r="G36" s="178"/>
      <c r="H36" s="182"/>
    </row>
    <row r="37" spans="2:9" x14ac:dyDescent="0.25">
      <c r="B37" s="157" t="s">
        <v>5</v>
      </c>
      <c r="C37" s="167">
        <v>62.98</v>
      </c>
      <c r="D37" s="167">
        <v>100.81</v>
      </c>
      <c r="E37" s="167">
        <v>365.21</v>
      </c>
      <c r="F37" s="167">
        <v>190.19</v>
      </c>
      <c r="G37" s="167">
        <v>32.700000000000003</v>
      </c>
      <c r="H37" s="179">
        <f>SUM(C37:G37)</f>
        <v>751.8900000000001</v>
      </c>
    </row>
    <row r="38" spans="2:9" x14ac:dyDescent="0.25">
      <c r="B38" s="157" t="s">
        <v>51</v>
      </c>
      <c r="C38" s="167">
        <v>3454.23</v>
      </c>
      <c r="D38" s="167">
        <v>1479.18</v>
      </c>
      <c r="E38" s="167">
        <v>3277.47</v>
      </c>
      <c r="F38" s="167">
        <v>1236.58</v>
      </c>
      <c r="G38" s="167">
        <v>1737.22</v>
      </c>
      <c r="H38" s="179">
        <f t="shared" ref="H38:H41" si="13">SUM(C38:G38)</f>
        <v>11184.679999999998</v>
      </c>
    </row>
    <row r="39" spans="2:9" x14ac:dyDescent="0.25">
      <c r="B39" s="157" t="s">
        <v>6</v>
      </c>
      <c r="C39" s="167">
        <v>309.22000000000003</v>
      </c>
      <c r="D39" s="167">
        <v>151.31</v>
      </c>
      <c r="E39" s="167">
        <v>531.21</v>
      </c>
      <c r="F39" s="167">
        <v>394.11</v>
      </c>
      <c r="G39" s="167">
        <v>380.37</v>
      </c>
      <c r="H39" s="179">
        <f t="shared" si="13"/>
        <v>1766.2199999999998</v>
      </c>
    </row>
    <row r="40" spans="2:9" x14ac:dyDescent="0.25">
      <c r="B40" s="157" t="s">
        <v>7</v>
      </c>
      <c r="C40" s="167">
        <v>157.11000000000001</v>
      </c>
      <c r="D40" s="167">
        <v>219.59</v>
      </c>
      <c r="E40" s="167">
        <v>1923.93</v>
      </c>
      <c r="F40" s="167">
        <v>702.36</v>
      </c>
      <c r="G40" s="167">
        <v>1204.7</v>
      </c>
      <c r="H40" s="179">
        <f t="shared" si="13"/>
        <v>4207.6900000000005</v>
      </c>
    </row>
    <row r="41" spans="2:9" x14ac:dyDescent="0.25">
      <c r="B41" s="157" t="s">
        <v>178</v>
      </c>
      <c r="C41" s="162" t="s">
        <v>128</v>
      </c>
      <c r="D41" s="162" t="s">
        <v>128</v>
      </c>
      <c r="E41" s="162" t="s">
        <v>128</v>
      </c>
      <c r="F41" s="162" t="s">
        <v>128</v>
      </c>
      <c r="G41" s="162" t="s">
        <v>128</v>
      </c>
      <c r="H41" s="179">
        <f t="shared" si="13"/>
        <v>0</v>
      </c>
    </row>
    <row r="42" spans="2:9" x14ac:dyDescent="0.25">
      <c r="B42" s="159" t="s">
        <v>179</v>
      </c>
      <c r="C42" s="164">
        <f>SUM(C37:C41)</f>
        <v>3983.5400000000004</v>
      </c>
      <c r="D42" s="164">
        <f t="shared" ref="D42" si="14">SUM(D37:D41)</f>
        <v>1950.8899999999999</v>
      </c>
      <c r="E42" s="164">
        <f t="shared" ref="E42" si="15">SUM(E37:E41)</f>
        <v>6097.82</v>
      </c>
      <c r="F42" s="164">
        <f t="shared" ref="F42" si="16">SUM(F37:F41)</f>
        <v>2523.2400000000002</v>
      </c>
      <c r="G42" s="164">
        <f t="shared" ref="G42" si="17">SUM(G37:G41)</f>
        <v>3354.99</v>
      </c>
      <c r="H42" s="164">
        <f t="shared" ref="H42" si="18">SUM(H37:H41)</f>
        <v>17910.479999999996</v>
      </c>
    </row>
    <row r="43" spans="2:9" x14ac:dyDescent="0.25">
      <c r="B43" s="172">
        <v>2009</v>
      </c>
      <c r="C43" s="178"/>
      <c r="D43" s="178"/>
      <c r="E43" s="178"/>
      <c r="F43" s="178"/>
      <c r="G43" s="178"/>
      <c r="H43" s="182"/>
    </row>
    <row r="44" spans="2:9" x14ac:dyDescent="0.25">
      <c r="B44" s="157" t="s">
        <v>5</v>
      </c>
      <c r="C44" s="167">
        <v>57.45</v>
      </c>
      <c r="D44" s="167">
        <v>101.48</v>
      </c>
      <c r="E44" s="167">
        <v>378.53</v>
      </c>
      <c r="F44" s="167">
        <v>184.23</v>
      </c>
      <c r="G44" s="167">
        <v>34.869999999999997</v>
      </c>
      <c r="H44" s="179">
        <f>SUM(C44:G44)</f>
        <v>756.56000000000006</v>
      </c>
    </row>
    <row r="45" spans="2:9" x14ac:dyDescent="0.25">
      <c r="B45" s="157" t="s">
        <v>51</v>
      </c>
      <c r="C45" s="167">
        <v>3235.22</v>
      </c>
      <c r="D45" s="167">
        <v>1402.12</v>
      </c>
      <c r="E45" s="167">
        <v>3026.12</v>
      </c>
      <c r="F45" s="167">
        <v>1127.25</v>
      </c>
      <c r="G45" s="167">
        <v>1634.89</v>
      </c>
      <c r="H45" s="179">
        <f t="shared" ref="H45:H48" si="19">SUM(C45:G45)</f>
        <v>10425.599999999999</v>
      </c>
    </row>
    <row r="46" spans="2:9" x14ac:dyDescent="0.25">
      <c r="B46" s="157" t="s">
        <v>6</v>
      </c>
      <c r="C46" s="167">
        <v>296.38</v>
      </c>
      <c r="D46" s="167">
        <v>150.52000000000001</v>
      </c>
      <c r="E46" s="167">
        <v>500.6</v>
      </c>
      <c r="F46" s="167">
        <v>416.29</v>
      </c>
      <c r="G46" s="167">
        <v>395.23</v>
      </c>
      <c r="H46" s="179">
        <f t="shared" si="19"/>
        <v>1759.02</v>
      </c>
      <c r="I46" s="204"/>
    </row>
    <row r="47" spans="2:9" x14ac:dyDescent="0.25">
      <c r="B47" s="157" t="s">
        <v>7</v>
      </c>
      <c r="C47" s="167">
        <v>153.32</v>
      </c>
      <c r="D47" s="167">
        <v>228.54</v>
      </c>
      <c r="E47" s="167">
        <v>1617.6</v>
      </c>
      <c r="F47" s="167">
        <v>668.28</v>
      </c>
      <c r="G47" s="167">
        <v>1001.57</v>
      </c>
      <c r="H47" s="179">
        <f t="shared" si="19"/>
        <v>3669.31</v>
      </c>
      <c r="I47" s="204"/>
    </row>
    <row r="48" spans="2:9" x14ac:dyDescent="0.25">
      <c r="B48" s="157" t="s">
        <v>178</v>
      </c>
      <c r="C48" s="162" t="s">
        <v>128</v>
      </c>
      <c r="D48" s="162" t="s">
        <v>128</v>
      </c>
      <c r="E48" s="162" t="s">
        <v>128</v>
      </c>
      <c r="F48" s="162" t="s">
        <v>128</v>
      </c>
      <c r="G48" s="162" t="s">
        <v>128</v>
      </c>
      <c r="H48" s="179">
        <f t="shared" si="19"/>
        <v>0</v>
      </c>
      <c r="I48" s="204"/>
    </row>
    <row r="49" spans="2:9" x14ac:dyDescent="0.25">
      <c r="B49" s="159" t="s">
        <v>179</v>
      </c>
      <c r="C49" s="164">
        <f>SUM(C44:C48)</f>
        <v>3742.37</v>
      </c>
      <c r="D49" s="164">
        <f t="shared" ref="D49" si="20">SUM(D44:D48)</f>
        <v>1882.6599999999999</v>
      </c>
      <c r="E49" s="164">
        <f t="shared" ref="E49" si="21">SUM(E44:E48)</f>
        <v>5522.8499999999995</v>
      </c>
      <c r="F49" s="164">
        <f t="shared" ref="F49" si="22">SUM(F44:F48)</f>
        <v>2396.0500000000002</v>
      </c>
      <c r="G49" s="164">
        <f t="shared" ref="G49" si="23">SUM(G44:G48)</f>
        <v>3066.56</v>
      </c>
      <c r="H49" s="164">
        <f t="shared" ref="H49" si="24">SUM(H44:H48)</f>
        <v>16610.489999999998</v>
      </c>
      <c r="I49" s="204"/>
    </row>
    <row r="50" spans="2:9" x14ac:dyDescent="0.25">
      <c r="B50" s="89"/>
      <c r="C50" s="138"/>
      <c r="D50" s="138"/>
      <c r="E50" s="138"/>
      <c r="F50" s="138"/>
      <c r="G50" s="138"/>
      <c r="H50" s="138"/>
      <c r="I50" s="204"/>
    </row>
    <row r="51" spans="2:9" x14ac:dyDescent="0.25">
      <c r="B51" s="202" t="s">
        <v>598</v>
      </c>
      <c r="C51" s="138"/>
      <c r="D51" s="138"/>
      <c r="E51" s="138"/>
      <c r="F51" s="138"/>
      <c r="G51" s="138"/>
      <c r="H51" s="138"/>
      <c r="I51" s="204"/>
    </row>
    <row r="52" spans="2:9" x14ac:dyDescent="0.25">
      <c r="I52" s="204"/>
    </row>
    <row r="53" spans="2:9" x14ac:dyDescent="0.25">
      <c r="B53" s="204"/>
      <c r="C53" s="204"/>
      <c r="D53" s="204"/>
      <c r="E53" s="204"/>
      <c r="F53" s="204"/>
      <c r="G53" s="204"/>
      <c r="H53" s="204"/>
      <c r="I53" s="204"/>
    </row>
    <row r="54" spans="2:9" x14ac:dyDescent="0.25">
      <c r="B54" s="204"/>
      <c r="C54" s="204"/>
      <c r="D54" s="204"/>
      <c r="E54" s="204"/>
      <c r="F54" s="204"/>
      <c r="G54" s="204"/>
      <c r="H54" s="204"/>
      <c r="I54" s="204"/>
    </row>
    <row r="55" spans="2:9" x14ac:dyDescent="0.25">
      <c r="B55" s="204"/>
      <c r="C55" s="204"/>
      <c r="D55" s="204"/>
      <c r="E55" s="204"/>
      <c r="F55" s="204"/>
      <c r="G55" s="204"/>
      <c r="H55" s="204"/>
      <c r="I55" s="204"/>
    </row>
    <row r="56" spans="2:9" x14ac:dyDescent="0.25">
      <c r="B56" s="204"/>
      <c r="C56" s="204"/>
      <c r="D56" s="204"/>
      <c r="E56" s="204"/>
      <c r="F56" s="204"/>
      <c r="G56" s="204"/>
      <c r="H56" s="204"/>
      <c r="I56" s="204"/>
    </row>
    <row r="57" spans="2:9" x14ac:dyDescent="0.25">
      <c r="B57" s="204"/>
      <c r="C57" s="204"/>
      <c r="D57" s="204"/>
      <c r="E57" s="204"/>
      <c r="F57" s="204"/>
      <c r="G57" s="204"/>
      <c r="H57" s="204"/>
      <c r="I57" s="204"/>
    </row>
    <row r="58" spans="2:9" x14ac:dyDescent="0.25">
      <c r="B58" s="204"/>
      <c r="C58" s="204"/>
      <c r="D58" s="204"/>
      <c r="E58" s="204"/>
      <c r="F58" s="204"/>
      <c r="G58" s="204"/>
      <c r="H58" s="204"/>
    </row>
    <row r="59" spans="2:9" x14ac:dyDescent="0.25">
      <c r="B59" s="204"/>
      <c r="C59" s="204"/>
      <c r="D59" s="204"/>
      <c r="E59" s="204"/>
      <c r="F59" s="204"/>
      <c r="G59" s="204"/>
      <c r="H59" s="204"/>
    </row>
    <row r="60" spans="2:9" x14ac:dyDescent="0.25">
      <c r="B60" s="204"/>
      <c r="C60" s="204"/>
      <c r="D60" s="204"/>
      <c r="E60" s="204"/>
      <c r="F60" s="204"/>
      <c r="G60" s="204"/>
      <c r="H60" s="204"/>
    </row>
    <row r="61" spans="2:9" x14ac:dyDescent="0.25">
      <c r="B61" s="204"/>
      <c r="C61" s="204"/>
      <c r="D61" s="204"/>
      <c r="E61" s="204"/>
      <c r="F61" s="204"/>
      <c r="G61" s="204"/>
      <c r="H61" s="204"/>
    </row>
    <row r="62" spans="2:9" x14ac:dyDescent="0.25">
      <c r="B62" s="204"/>
      <c r="C62" s="204"/>
      <c r="D62" s="204"/>
      <c r="E62" s="204"/>
      <c r="F62" s="204"/>
      <c r="G62" s="204"/>
      <c r="H62" s="204"/>
    </row>
    <row r="63" spans="2:9" x14ac:dyDescent="0.25">
      <c r="B63" s="204"/>
      <c r="C63" s="204"/>
      <c r="D63" s="204"/>
      <c r="E63" s="204"/>
      <c r="F63" s="204"/>
      <c r="G63" s="204"/>
      <c r="H63" s="204"/>
    </row>
    <row r="64" spans="2:9" x14ac:dyDescent="0.25">
      <c r="B64" s="204"/>
      <c r="C64" s="204"/>
      <c r="D64" s="204"/>
      <c r="E64" s="204"/>
      <c r="F64" s="204"/>
      <c r="G64" s="204"/>
      <c r="H64" s="204"/>
    </row>
  </sheetData>
  <sheetProtection password="C69F" sheet="1" objects="1" scenarios="1"/>
  <mergeCells count="1">
    <mergeCell ref="B6:H6"/>
  </mergeCells>
  <hyperlinks>
    <hyperlink ref="A1" location="ÍNDICE!A1" display="ÍNDIC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N57"/>
  <sheetViews>
    <sheetView zoomScale="90" zoomScaleNormal="90" workbookViewId="0"/>
  </sheetViews>
  <sheetFormatPr baseColWidth="10" defaultRowHeight="15" x14ac:dyDescent="0.25"/>
  <cols>
    <col min="1" max="1" width="11.42578125" style="151"/>
    <col min="2" max="2" width="18.7109375" style="151" customWidth="1"/>
    <col min="3" max="3" width="16.42578125" style="151" customWidth="1"/>
    <col min="4" max="4" width="30.140625" style="151" customWidth="1"/>
    <col min="5" max="5" width="22.7109375" style="151" bestFit="1" customWidth="1"/>
    <col min="6" max="6" width="14.85546875" style="151" customWidth="1"/>
    <col min="7" max="7" width="11.42578125" style="151"/>
    <col min="8" max="8" width="19.42578125" style="151" customWidth="1"/>
    <col min="9" max="9" width="12.85546875" style="151" customWidth="1"/>
    <col min="10" max="10" width="16" style="151" customWidth="1"/>
    <col min="11" max="11" width="25.28515625" style="151" customWidth="1"/>
    <col min="12" max="12" width="16.5703125" style="151" customWidth="1"/>
    <col min="13" max="13" width="10.140625" style="151" customWidth="1"/>
    <col min="14" max="14" width="12" style="151" bestFit="1" customWidth="1"/>
    <col min="15" max="15" width="15.7109375" style="151" bestFit="1" customWidth="1"/>
    <col min="16" max="16" width="8.5703125" style="151" customWidth="1"/>
    <col min="17" max="16384" width="11.42578125" style="151"/>
  </cols>
  <sheetData>
    <row r="1" spans="1:14" x14ac:dyDescent="0.25">
      <c r="A1" s="181" t="s">
        <v>132</v>
      </c>
    </row>
    <row r="2" spans="1:14" x14ac:dyDescent="0.25">
      <c r="A2" s="152" t="s">
        <v>418</v>
      </c>
      <c r="H2" s="149"/>
      <c r="I2" s="149"/>
      <c r="J2" s="149"/>
      <c r="K2" s="149"/>
      <c r="L2" s="149"/>
      <c r="M2" s="149"/>
      <c r="N2" s="149"/>
    </row>
    <row r="3" spans="1:14" x14ac:dyDescent="0.25">
      <c r="H3" s="149"/>
      <c r="I3" s="149"/>
      <c r="J3" s="149"/>
      <c r="K3" s="149"/>
      <c r="L3" s="149"/>
      <c r="M3" s="149"/>
      <c r="N3" s="149"/>
    </row>
    <row r="4" spans="1:14" x14ac:dyDescent="0.25">
      <c r="A4" s="180" t="s">
        <v>103</v>
      </c>
      <c r="B4" s="151" t="s">
        <v>645</v>
      </c>
    </row>
    <row r="6" spans="1:14" x14ac:dyDescent="0.25">
      <c r="B6" s="672" t="s">
        <v>408</v>
      </c>
      <c r="C6" s="672"/>
      <c r="D6" s="672"/>
      <c r="E6" s="672"/>
      <c r="F6" s="672"/>
      <c r="H6" s="714" t="s">
        <v>407</v>
      </c>
      <c r="I6" s="714"/>
      <c r="J6" s="714"/>
      <c r="K6" s="714"/>
      <c r="L6" s="714"/>
      <c r="M6" s="714"/>
      <c r="N6" s="714"/>
    </row>
    <row r="7" spans="1:14" ht="15.75" thickBot="1" x14ac:dyDescent="0.3">
      <c r="B7" s="154"/>
      <c r="C7" s="160" t="s">
        <v>180</v>
      </c>
      <c r="D7" s="160" t="s">
        <v>181</v>
      </c>
      <c r="E7" s="160" t="s">
        <v>182</v>
      </c>
      <c r="F7" s="160" t="s">
        <v>8</v>
      </c>
      <c r="H7" s="154"/>
      <c r="I7" s="160" t="s">
        <v>67</v>
      </c>
      <c r="J7" s="160" t="s">
        <v>68</v>
      </c>
      <c r="K7" s="160" t="s">
        <v>69</v>
      </c>
      <c r="L7" s="160" t="s">
        <v>70</v>
      </c>
      <c r="M7" s="160" t="s">
        <v>71</v>
      </c>
      <c r="N7" s="160" t="s">
        <v>8</v>
      </c>
    </row>
    <row r="8" spans="1:14" ht="15.75" thickTop="1" x14ac:dyDescent="0.25">
      <c r="B8" s="171" t="s">
        <v>447</v>
      </c>
      <c r="C8" s="156"/>
      <c r="D8" s="156"/>
      <c r="E8" s="156"/>
      <c r="F8" s="174"/>
      <c r="H8" s="171" t="s">
        <v>447</v>
      </c>
      <c r="I8" s="170"/>
      <c r="J8" s="170"/>
      <c r="K8" s="170"/>
      <c r="L8" s="170"/>
      <c r="M8" s="170"/>
      <c r="N8" s="170"/>
    </row>
    <row r="9" spans="1:14" x14ac:dyDescent="0.25">
      <c r="B9" s="157" t="s">
        <v>5</v>
      </c>
      <c r="C9" s="162">
        <v>1060.0619999999999</v>
      </c>
      <c r="D9" s="162">
        <v>438.8125</v>
      </c>
      <c r="E9" s="162">
        <v>379.20830000000001</v>
      </c>
      <c r="F9" s="179">
        <f>SUM(C9:E9)</f>
        <v>1878.0827999999999</v>
      </c>
      <c r="H9" s="157" t="s">
        <v>5</v>
      </c>
      <c r="I9" s="150">
        <f>184.458321</f>
        <v>184.45832100000001</v>
      </c>
      <c r="J9" s="150">
        <v>259.93747100000002</v>
      </c>
      <c r="K9" s="150">
        <v>509.49996299999998</v>
      </c>
      <c r="L9" s="150">
        <v>84.583332999999996</v>
      </c>
      <c r="M9" s="150">
        <v>21.583331999999999</v>
      </c>
      <c r="N9" s="179">
        <f>SUM(I9:M9)</f>
        <v>1060.06242</v>
      </c>
    </row>
    <row r="10" spans="1:14" x14ac:dyDescent="0.25">
      <c r="B10" s="157" t="s">
        <v>177</v>
      </c>
      <c r="C10" s="162">
        <v>7143.1869999999999</v>
      </c>
      <c r="D10" s="162">
        <v>4228.3119999999999</v>
      </c>
      <c r="E10" s="162">
        <v>1402.0619999999999</v>
      </c>
      <c r="F10" s="179">
        <f t="shared" ref="F10:F12" si="0">SUM(C10:E10)</f>
        <v>12773.561</v>
      </c>
      <c r="H10" s="157" t="s">
        <v>177</v>
      </c>
      <c r="I10" s="150">
        <v>4839.4372270000003</v>
      </c>
      <c r="J10" s="150">
        <v>1173.2082190000001</v>
      </c>
      <c r="K10" s="150">
        <v>1073.8957519999999</v>
      </c>
      <c r="L10" s="150">
        <v>9.8749979999999997</v>
      </c>
      <c r="M10" s="150">
        <v>46.770826999999997</v>
      </c>
      <c r="N10" s="179">
        <f t="shared" ref="N10:N13" si="1">SUM(I10:M10)</f>
        <v>7143.1870230000013</v>
      </c>
    </row>
    <row r="11" spans="1:14" x14ac:dyDescent="0.25">
      <c r="B11" s="157" t="s">
        <v>6</v>
      </c>
      <c r="C11" s="162">
        <v>994.39580000000001</v>
      </c>
      <c r="D11" s="162">
        <v>523.20830000000001</v>
      </c>
      <c r="E11" s="162">
        <v>422.3125</v>
      </c>
      <c r="F11" s="179">
        <f t="shared" si="0"/>
        <v>1939.9166</v>
      </c>
      <c r="H11" s="157" t="s">
        <v>6</v>
      </c>
      <c r="I11" s="150">
        <v>227.66664800000001</v>
      </c>
      <c r="J11" s="150">
        <v>112.687488</v>
      </c>
      <c r="K11" s="150">
        <v>492.562456</v>
      </c>
      <c r="L11" s="150">
        <v>157.41666499999999</v>
      </c>
      <c r="M11" s="150">
        <v>4.0624950000000002</v>
      </c>
      <c r="N11" s="179">
        <f t="shared" si="1"/>
        <v>994.39575200000002</v>
      </c>
    </row>
    <row r="12" spans="1:14" x14ac:dyDescent="0.25">
      <c r="B12" s="157" t="s">
        <v>7</v>
      </c>
      <c r="C12" s="162">
        <v>3062.7710000000002</v>
      </c>
      <c r="D12" s="162">
        <v>1801.8119999999999</v>
      </c>
      <c r="E12" s="162">
        <v>1726.7080000000001</v>
      </c>
      <c r="F12" s="179">
        <f t="shared" si="0"/>
        <v>6591.2910000000011</v>
      </c>
      <c r="H12" s="157" t="s">
        <v>7</v>
      </c>
      <c r="I12" s="150">
        <v>199.624979</v>
      </c>
      <c r="J12" s="150">
        <v>425.81247500000001</v>
      </c>
      <c r="K12" s="150">
        <v>2113.770755</v>
      </c>
      <c r="L12" s="150">
        <v>229.60416000000001</v>
      </c>
      <c r="M12" s="150">
        <v>93.958331000000001</v>
      </c>
      <c r="N12" s="179">
        <f t="shared" si="1"/>
        <v>3062.7706999999996</v>
      </c>
    </row>
    <row r="13" spans="1:14" x14ac:dyDescent="0.25">
      <c r="B13" s="157" t="s">
        <v>178</v>
      </c>
      <c r="C13" s="162">
        <v>59.666666666666671</v>
      </c>
      <c r="D13" s="162">
        <v>458.66666666666663</v>
      </c>
      <c r="E13" s="162">
        <v>47.833333333333336</v>
      </c>
      <c r="F13" s="179">
        <f>SUM(C13:E13)</f>
        <v>566.16666666666663</v>
      </c>
      <c r="H13" s="157" t="s">
        <v>178</v>
      </c>
      <c r="I13" s="150">
        <v>36.666666666666671</v>
      </c>
      <c r="J13" s="150">
        <v>6</v>
      </c>
      <c r="K13" s="150">
        <v>17</v>
      </c>
      <c r="L13" s="150">
        <v>0</v>
      </c>
      <c r="M13" s="150">
        <v>0</v>
      </c>
      <c r="N13" s="179">
        <f t="shared" si="1"/>
        <v>59.666666666666671</v>
      </c>
    </row>
    <row r="14" spans="1:14" x14ac:dyDescent="0.25">
      <c r="B14" s="159" t="s">
        <v>8</v>
      </c>
      <c r="C14" s="164">
        <f>SUM(C9:C13)</f>
        <v>12320.082466666667</v>
      </c>
      <c r="D14" s="164">
        <f t="shared" ref="D14:E14" si="2">SUM(D9:D13)</f>
        <v>7450.811466666667</v>
      </c>
      <c r="E14" s="164">
        <f t="shared" si="2"/>
        <v>3978.1241333333337</v>
      </c>
      <c r="F14" s="164">
        <f>SUM(C14:E14)</f>
        <v>23749.018066666667</v>
      </c>
      <c r="H14" s="157" t="s">
        <v>8</v>
      </c>
      <c r="I14" s="164">
        <f>SUM(I9:I13)</f>
        <v>5487.8538416666679</v>
      </c>
      <c r="J14" s="164">
        <f t="shared" ref="J14:N14" si="3">SUM(J9:J13)</f>
        <v>1977.645653</v>
      </c>
      <c r="K14" s="164">
        <f t="shared" si="3"/>
        <v>4206.7289259999998</v>
      </c>
      <c r="L14" s="164">
        <f t="shared" si="3"/>
        <v>481.47915599999999</v>
      </c>
      <c r="M14" s="164">
        <f t="shared" si="3"/>
        <v>166.37498499999998</v>
      </c>
      <c r="N14" s="164">
        <f t="shared" si="3"/>
        <v>12320.082561666666</v>
      </c>
    </row>
    <row r="15" spans="1:14" x14ac:dyDescent="0.25">
      <c r="B15" s="173">
        <v>2013</v>
      </c>
      <c r="C15" s="158"/>
      <c r="D15" s="158"/>
      <c r="E15" s="158"/>
      <c r="F15" s="175"/>
      <c r="H15" s="172">
        <v>2013</v>
      </c>
      <c r="I15" s="170"/>
      <c r="J15" s="170"/>
      <c r="K15" s="170"/>
      <c r="L15" s="170"/>
      <c r="M15" s="170"/>
      <c r="N15" s="170"/>
    </row>
    <row r="16" spans="1:14" x14ac:dyDescent="0.25">
      <c r="B16" s="157" t="s">
        <v>5</v>
      </c>
      <c r="C16" s="162">
        <f>1038.347</f>
        <v>1038.347</v>
      </c>
      <c r="D16" s="162">
        <v>427.88</v>
      </c>
      <c r="E16" s="162">
        <v>505.63</v>
      </c>
      <c r="F16" s="179">
        <f>SUM(C16:E16)</f>
        <v>1971.857</v>
      </c>
      <c r="H16" s="157" t="s">
        <v>5</v>
      </c>
      <c r="I16" s="150">
        <f>181.33</f>
        <v>181.33</v>
      </c>
      <c r="J16" s="150">
        <v>340.11333333300001</v>
      </c>
      <c r="K16" s="150">
        <v>504.91</v>
      </c>
      <c r="L16" s="150">
        <v>7.0033333333299996</v>
      </c>
      <c r="M16" s="150">
        <v>5</v>
      </c>
      <c r="N16" s="179">
        <f>SUM(I16:M16)</f>
        <v>1038.3566666663301</v>
      </c>
    </row>
    <row r="17" spans="2:14" x14ac:dyDescent="0.25">
      <c r="B17" s="157" t="s">
        <v>177</v>
      </c>
      <c r="C17" s="162">
        <v>6383.0320000000002</v>
      </c>
      <c r="D17" s="162">
        <v>3194.1979999999999</v>
      </c>
      <c r="E17" s="162">
        <v>1480.7550000000001</v>
      </c>
      <c r="F17" s="179">
        <f t="shared" ref="F17:F19" si="4">SUM(C17:E17)</f>
        <v>11057.985000000001</v>
      </c>
      <c r="H17" s="157" t="s">
        <v>177</v>
      </c>
      <c r="I17" s="150">
        <v>4319.8091666700002</v>
      </c>
      <c r="J17" s="150">
        <v>1135.52916667</v>
      </c>
      <c r="K17" s="150">
        <v>856.23749999999995</v>
      </c>
      <c r="L17" s="150">
        <v>31.12</v>
      </c>
      <c r="M17" s="150">
        <v>40.516666666699997</v>
      </c>
      <c r="N17" s="179">
        <f t="shared" ref="N17:N20" si="5">SUM(I17:M17)</f>
        <v>6383.2125000066999</v>
      </c>
    </row>
    <row r="18" spans="2:14" x14ac:dyDescent="0.25">
      <c r="B18" s="157" t="s">
        <v>6</v>
      </c>
      <c r="C18" s="162">
        <v>511.61829999999998</v>
      </c>
      <c r="D18" s="162">
        <v>400.50330000000002</v>
      </c>
      <c r="E18" s="162">
        <v>116.1358</v>
      </c>
      <c r="F18" s="179">
        <f t="shared" si="4"/>
        <v>1028.2574</v>
      </c>
      <c r="H18" s="157" t="s">
        <v>6</v>
      </c>
      <c r="I18" s="150">
        <v>209.95916666700001</v>
      </c>
      <c r="J18" s="150">
        <v>76.593333333299995</v>
      </c>
      <c r="K18" s="150">
        <v>219.10583333299999</v>
      </c>
      <c r="L18" s="150">
        <v>5.65</v>
      </c>
      <c r="M18" s="150">
        <v>0.33</v>
      </c>
      <c r="N18" s="179">
        <f t="shared" si="5"/>
        <v>511.63833333329995</v>
      </c>
    </row>
    <row r="19" spans="2:14" x14ac:dyDescent="0.25">
      <c r="B19" s="157" t="s">
        <v>7</v>
      </c>
      <c r="C19" s="162">
        <v>1810.777</v>
      </c>
      <c r="D19" s="162">
        <v>1784.33</v>
      </c>
      <c r="E19" s="162">
        <v>1292.08</v>
      </c>
      <c r="F19" s="179">
        <f t="shared" si="4"/>
        <v>4887.1869999999999</v>
      </c>
      <c r="H19" s="157" t="s">
        <v>7</v>
      </c>
      <c r="I19" s="150">
        <v>198.13</v>
      </c>
      <c r="J19" s="150">
        <v>321.89999999999998</v>
      </c>
      <c r="K19" s="150">
        <v>1224.2866666699999</v>
      </c>
      <c r="L19" s="150">
        <v>58.93</v>
      </c>
      <c r="M19" s="150">
        <v>7.58</v>
      </c>
      <c r="N19" s="179">
        <f t="shared" si="5"/>
        <v>1810.8266666699999</v>
      </c>
    </row>
    <row r="20" spans="2:14" x14ac:dyDescent="0.25">
      <c r="B20" s="157" t="s">
        <v>178</v>
      </c>
      <c r="C20" s="162">
        <v>51.666666666666664</v>
      </c>
      <c r="D20" s="162">
        <v>388.33333333333331</v>
      </c>
      <c r="E20" s="162">
        <v>35.833333333333336</v>
      </c>
      <c r="F20" s="179">
        <f>SUM(C20:E20)</f>
        <v>475.83333333333331</v>
      </c>
      <c r="H20" s="157" t="s">
        <v>178</v>
      </c>
      <c r="I20" s="150">
        <v>38.666666666666671</v>
      </c>
      <c r="J20" s="150">
        <v>5</v>
      </c>
      <c r="K20" s="150">
        <v>8</v>
      </c>
      <c r="L20" s="150">
        <v>0</v>
      </c>
      <c r="M20" s="150">
        <v>0</v>
      </c>
      <c r="N20" s="179">
        <f t="shared" si="5"/>
        <v>51.666666666666671</v>
      </c>
    </row>
    <row r="21" spans="2:14" x14ac:dyDescent="0.25">
      <c r="B21" s="157" t="s">
        <v>8</v>
      </c>
      <c r="C21" s="179">
        <f>SUM(C16:C20)</f>
        <v>9795.440966666667</v>
      </c>
      <c r="D21" s="179">
        <f t="shared" ref="D21:F21" si="6">SUM(D16:D20)</f>
        <v>6195.2446333333328</v>
      </c>
      <c r="E21" s="179">
        <f t="shared" si="6"/>
        <v>3430.4341333333336</v>
      </c>
      <c r="F21" s="179">
        <f t="shared" si="6"/>
        <v>19421.119733333333</v>
      </c>
      <c r="H21" s="157" t="s">
        <v>8</v>
      </c>
      <c r="I21" s="164">
        <f>SUM(I16:I20)</f>
        <v>4947.8950000036675</v>
      </c>
      <c r="J21" s="164">
        <f t="shared" ref="J21:N21" si="7">SUM(J16:J20)</f>
        <v>1879.1358333363</v>
      </c>
      <c r="K21" s="164">
        <f t="shared" si="7"/>
        <v>2812.5400000029999</v>
      </c>
      <c r="L21" s="164">
        <f t="shared" si="7"/>
        <v>102.70333333332999</v>
      </c>
      <c r="M21" s="164">
        <f t="shared" si="7"/>
        <v>53.426666666699994</v>
      </c>
      <c r="N21" s="164">
        <f t="shared" si="7"/>
        <v>9795.7008333429949</v>
      </c>
    </row>
    <row r="22" spans="2:14" x14ac:dyDescent="0.25">
      <c r="B22" s="172">
        <v>2012</v>
      </c>
      <c r="C22" s="178"/>
      <c r="D22" s="178"/>
      <c r="E22" s="178"/>
      <c r="F22" s="182"/>
      <c r="H22" s="172">
        <v>2012</v>
      </c>
      <c r="I22" s="150"/>
      <c r="J22" s="150"/>
      <c r="K22" s="150"/>
      <c r="L22" s="150"/>
      <c r="M22" s="150"/>
      <c r="N22" s="200"/>
    </row>
    <row r="23" spans="2:14" x14ac:dyDescent="0.25">
      <c r="B23" s="157" t="s">
        <v>5</v>
      </c>
      <c r="C23" s="162">
        <v>535.34</v>
      </c>
      <c r="D23" s="162">
        <v>161.41999999999999</v>
      </c>
      <c r="E23" s="162">
        <v>94.9</v>
      </c>
      <c r="F23" s="179">
        <f>+SUM(C23:E23)</f>
        <v>791.66</v>
      </c>
      <c r="H23" s="157" t="s">
        <v>5</v>
      </c>
      <c r="I23" s="150">
        <v>96.09</v>
      </c>
      <c r="J23" s="150">
        <v>153.16</v>
      </c>
      <c r="K23" s="150">
        <v>285.08999999999997</v>
      </c>
      <c r="L23" s="150">
        <v>0.25</v>
      </c>
      <c r="M23" s="150">
        <v>0.75</v>
      </c>
      <c r="N23" s="179">
        <f>+SUM(I23:M23)</f>
        <v>535.33999999999992</v>
      </c>
    </row>
    <row r="24" spans="2:14" x14ac:dyDescent="0.25">
      <c r="B24" s="157" t="s">
        <v>177</v>
      </c>
      <c r="C24" s="162">
        <v>6424.79</v>
      </c>
      <c r="D24" s="162">
        <v>3626.9</v>
      </c>
      <c r="E24" s="162">
        <v>1401.21</v>
      </c>
      <c r="F24" s="179">
        <f>+SUM(C24:E24)</f>
        <v>11452.900000000001</v>
      </c>
      <c r="H24" s="157" t="s">
        <v>177</v>
      </c>
      <c r="I24" s="150">
        <v>4073.64</v>
      </c>
      <c r="J24" s="150">
        <v>1185.46</v>
      </c>
      <c r="K24" s="150">
        <v>1137.97</v>
      </c>
      <c r="L24" s="150">
        <v>18.72</v>
      </c>
      <c r="M24" s="150">
        <v>9</v>
      </c>
      <c r="N24" s="179">
        <f t="shared" ref="N24:N27" si="8">+SUM(I24:M24)</f>
        <v>6424.7900000000009</v>
      </c>
    </row>
    <row r="25" spans="2:14" x14ac:dyDescent="0.25">
      <c r="B25" s="157" t="s">
        <v>6</v>
      </c>
      <c r="C25" s="162">
        <v>843.46</v>
      </c>
      <c r="D25" s="162">
        <v>939.73</v>
      </c>
      <c r="E25" s="162">
        <v>440.29</v>
      </c>
      <c r="F25" s="179">
        <f>+SUM(C25:E25)</f>
        <v>2223.48</v>
      </c>
      <c r="H25" s="157" t="s">
        <v>6</v>
      </c>
      <c r="I25" s="150">
        <v>325.2</v>
      </c>
      <c r="J25" s="150">
        <v>189.93</v>
      </c>
      <c r="K25" s="150">
        <v>302.17</v>
      </c>
      <c r="L25" s="150">
        <v>16.16</v>
      </c>
      <c r="M25" s="150">
        <v>10</v>
      </c>
      <c r="N25" s="179">
        <f t="shared" si="8"/>
        <v>843.45999999999992</v>
      </c>
    </row>
    <row r="26" spans="2:14" x14ac:dyDescent="0.25">
      <c r="B26" s="157" t="s">
        <v>7</v>
      </c>
      <c r="C26" s="162">
        <v>2576.21</v>
      </c>
      <c r="D26" s="162">
        <v>2177.44</v>
      </c>
      <c r="E26" s="162">
        <v>1241.3599999999999</v>
      </c>
      <c r="F26" s="179">
        <f>+SUM(C26:E26)</f>
        <v>5995.0099999999993</v>
      </c>
      <c r="H26" s="157" t="s">
        <v>7</v>
      </c>
      <c r="I26" s="150">
        <v>244.61</v>
      </c>
      <c r="J26" s="150">
        <v>314.93</v>
      </c>
      <c r="K26" s="150">
        <v>1815.7</v>
      </c>
      <c r="L26" s="150">
        <v>171.5</v>
      </c>
      <c r="M26" s="150">
        <v>29.47</v>
      </c>
      <c r="N26" s="179">
        <f t="shared" si="8"/>
        <v>2576.2099999999996</v>
      </c>
    </row>
    <row r="27" spans="2:14" x14ac:dyDescent="0.25">
      <c r="B27" s="157" t="s">
        <v>178</v>
      </c>
      <c r="C27" s="162">
        <v>67</v>
      </c>
      <c r="D27" s="162">
        <v>284</v>
      </c>
      <c r="E27" s="162">
        <v>141</v>
      </c>
      <c r="F27" s="179">
        <f>+SUM(C27:E27)</f>
        <v>492</v>
      </c>
      <c r="H27" s="157" t="s">
        <v>178</v>
      </c>
      <c r="I27" s="150">
        <v>43</v>
      </c>
      <c r="J27" s="150">
        <v>6</v>
      </c>
      <c r="K27" s="150">
        <v>18</v>
      </c>
      <c r="L27" s="150">
        <v>0</v>
      </c>
      <c r="M27" s="150">
        <v>0</v>
      </c>
      <c r="N27" s="179">
        <f t="shared" si="8"/>
        <v>67</v>
      </c>
    </row>
    <row r="28" spans="2:14" x14ac:dyDescent="0.25">
      <c r="B28" s="159" t="s">
        <v>8</v>
      </c>
      <c r="C28" s="164">
        <f>+SUM(C23:C27)</f>
        <v>10446.799999999999</v>
      </c>
      <c r="D28" s="164">
        <f>+SUM(D23:D27)</f>
        <v>7189.49</v>
      </c>
      <c r="E28" s="164">
        <f>+SUM(E23:E27)</f>
        <v>3318.76</v>
      </c>
      <c r="F28" s="164">
        <f>+SUM(F23:F27)</f>
        <v>20955.05</v>
      </c>
      <c r="H28" s="159" t="s">
        <v>8</v>
      </c>
      <c r="I28" s="164">
        <f>+SUM(I23:I27)</f>
        <v>4782.5399999999991</v>
      </c>
      <c r="J28" s="164">
        <f>+SUM(J23:J27)</f>
        <v>1849.4800000000002</v>
      </c>
      <c r="K28" s="164">
        <f>+SUM(K23:K27)</f>
        <v>3558.9300000000003</v>
      </c>
      <c r="L28" s="164">
        <f>+SUM(L23:L27)</f>
        <v>206.63</v>
      </c>
      <c r="M28" s="164">
        <f t="shared" ref="M28:N28" si="9">+SUM(M23:M27)</f>
        <v>49.22</v>
      </c>
      <c r="N28" s="164">
        <f t="shared" si="9"/>
        <v>10446.800000000001</v>
      </c>
    </row>
    <row r="29" spans="2:14" x14ac:dyDescent="0.25">
      <c r="B29" s="173">
        <v>2011</v>
      </c>
      <c r="C29" s="162"/>
      <c r="D29" s="162"/>
      <c r="E29" s="162"/>
      <c r="F29" s="179"/>
      <c r="H29" s="173">
        <v>2011</v>
      </c>
      <c r="I29" s="150"/>
      <c r="J29" s="150"/>
      <c r="K29" s="150"/>
      <c r="L29" s="150"/>
      <c r="M29" s="150"/>
      <c r="N29" s="200"/>
    </row>
    <row r="30" spans="2:14" x14ac:dyDescent="0.25">
      <c r="B30" s="157" t="s">
        <v>5</v>
      </c>
      <c r="C30" s="162">
        <v>443.37</v>
      </c>
      <c r="D30" s="162">
        <v>128.66</v>
      </c>
      <c r="E30" s="162">
        <v>87.8</v>
      </c>
      <c r="F30" s="179">
        <f>+SUM(C30:E30)</f>
        <v>659.82999999999993</v>
      </c>
      <c r="H30" s="157" t="s">
        <v>5</v>
      </c>
      <c r="I30" s="150">
        <v>83.17</v>
      </c>
      <c r="J30" s="150">
        <v>121.55</v>
      </c>
      <c r="K30" s="150">
        <v>237.65</v>
      </c>
      <c r="L30" s="150">
        <v>0.25</v>
      </c>
      <c r="M30" s="150">
        <v>0.75</v>
      </c>
      <c r="N30" s="179">
        <f>+SUM(I30:M30)</f>
        <v>443.37</v>
      </c>
    </row>
    <row r="31" spans="2:14" x14ac:dyDescent="0.25">
      <c r="B31" s="157" t="s">
        <v>177</v>
      </c>
      <c r="C31" s="162">
        <v>5969.83</v>
      </c>
      <c r="D31" s="162">
        <v>3178.13</v>
      </c>
      <c r="E31" s="162">
        <v>1375.97</v>
      </c>
      <c r="F31" s="179">
        <f>+SUM(C31:E31)</f>
        <v>10523.929999999998</v>
      </c>
      <c r="H31" s="157" t="s">
        <v>177</v>
      </c>
      <c r="I31" s="150">
        <v>3743.36</v>
      </c>
      <c r="J31" s="150">
        <v>1125.58</v>
      </c>
      <c r="K31" s="150">
        <v>1072.97</v>
      </c>
      <c r="L31" s="150">
        <v>17.920000000000002</v>
      </c>
      <c r="M31" s="150">
        <v>10</v>
      </c>
      <c r="N31" s="179">
        <f t="shared" ref="N31:N34" si="10">+SUM(I31:M31)</f>
        <v>5969.8300000000008</v>
      </c>
    </row>
    <row r="32" spans="2:14" x14ac:dyDescent="0.25">
      <c r="B32" s="157" t="s">
        <v>6</v>
      </c>
      <c r="C32" s="162">
        <v>725.47</v>
      </c>
      <c r="D32" s="162">
        <v>794.1</v>
      </c>
      <c r="E32" s="162">
        <v>432.16</v>
      </c>
      <c r="F32" s="179">
        <f>+SUM(C32:E32)</f>
        <v>1951.7300000000002</v>
      </c>
      <c r="H32" s="157" t="s">
        <v>6</v>
      </c>
      <c r="I32" s="150">
        <v>314.20999999999998</v>
      </c>
      <c r="J32" s="150">
        <v>129.6</v>
      </c>
      <c r="K32" s="150">
        <v>275.08999999999997</v>
      </c>
      <c r="L32" s="150">
        <v>4.74</v>
      </c>
      <c r="M32" s="150">
        <v>1.83</v>
      </c>
      <c r="N32" s="179">
        <f t="shared" si="10"/>
        <v>725.46999999999991</v>
      </c>
    </row>
    <row r="33" spans="2:14" x14ac:dyDescent="0.25">
      <c r="B33" s="157" t="s">
        <v>7</v>
      </c>
      <c r="C33" s="162">
        <v>2185.54</v>
      </c>
      <c r="D33" s="162">
        <v>1825.8</v>
      </c>
      <c r="E33" s="162">
        <v>1157.6199999999999</v>
      </c>
      <c r="F33" s="179">
        <f>+SUM(C33:E33)</f>
        <v>5168.96</v>
      </c>
      <c r="H33" s="157" t="s">
        <v>7</v>
      </c>
      <c r="I33" s="150">
        <v>192.52</v>
      </c>
      <c r="J33" s="150">
        <v>247.07</v>
      </c>
      <c r="K33" s="150">
        <v>1568.09</v>
      </c>
      <c r="L33" s="150">
        <v>148.5</v>
      </c>
      <c r="M33" s="150">
        <v>29.36</v>
      </c>
      <c r="N33" s="179">
        <f t="shared" si="10"/>
        <v>2185.54</v>
      </c>
    </row>
    <row r="34" spans="2:14" x14ac:dyDescent="0.25">
      <c r="B34" s="157" t="s">
        <v>178</v>
      </c>
      <c r="C34" s="31">
        <v>64</v>
      </c>
      <c r="D34" s="31">
        <v>275</v>
      </c>
      <c r="E34" s="31">
        <v>138</v>
      </c>
      <c r="F34" s="179">
        <f>+SUM(C34:E34)</f>
        <v>477</v>
      </c>
      <c r="H34" s="157" t="s">
        <v>178</v>
      </c>
      <c r="I34" s="150">
        <v>41</v>
      </c>
      <c r="J34" s="150">
        <v>5</v>
      </c>
      <c r="K34" s="150">
        <v>18</v>
      </c>
      <c r="L34" s="150">
        <v>0</v>
      </c>
      <c r="M34" s="150">
        <v>0</v>
      </c>
      <c r="N34" s="179">
        <f t="shared" si="10"/>
        <v>64</v>
      </c>
    </row>
    <row r="35" spans="2:14" x14ac:dyDescent="0.25">
      <c r="B35" s="159" t="s">
        <v>8</v>
      </c>
      <c r="C35" s="164">
        <f>+SUM(C30:C34)</f>
        <v>9388.2099999999991</v>
      </c>
      <c r="D35" s="164">
        <f>+SUM(D30:D34)</f>
        <v>6201.6900000000005</v>
      </c>
      <c r="E35" s="164">
        <f>+SUM(E30:E34)</f>
        <v>3191.55</v>
      </c>
      <c r="F35" s="164">
        <f>+SUM(F30:F34)</f>
        <v>18781.449999999997</v>
      </c>
      <c r="H35" s="159" t="s">
        <v>8</v>
      </c>
      <c r="I35" s="164">
        <f>+SUM(I30:I34)</f>
        <v>4374.26</v>
      </c>
      <c r="J35" s="164">
        <f>+SUM(J30:J34)</f>
        <v>1628.7999999999997</v>
      </c>
      <c r="K35" s="164">
        <f>+SUM(K30:K34)</f>
        <v>3171.8</v>
      </c>
      <c r="L35" s="164">
        <f>+SUM(L30:L34)</f>
        <v>171.41</v>
      </c>
      <c r="M35" s="164">
        <f t="shared" ref="M35:N35" si="11">+SUM(M30:M34)</f>
        <v>41.94</v>
      </c>
      <c r="N35" s="164">
        <f t="shared" si="11"/>
        <v>9388.2100000000009</v>
      </c>
    </row>
    <row r="36" spans="2:14" x14ac:dyDescent="0.25">
      <c r="B36" s="173">
        <v>2010</v>
      </c>
      <c r="C36" s="162"/>
      <c r="D36" s="162"/>
      <c r="E36" s="162"/>
      <c r="F36" s="179"/>
      <c r="H36" s="173">
        <v>2010</v>
      </c>
      <c r="I36" s="150"/>
      <c r="J36" s="150"/>
      <c r="K36" s="150"/>
      <c r="L36" s="150"/>
      <c r="M36" s="150"/>
      <c r="N36" s="200"/>
    </row>
    <row r="37" spans="2:14" x14ac:dyDescent="0.25">
      <c r="B37" s="157" t="s">
        <v>5</v>
      </c>
      <c r="C37" s="162">
        <v>504.91</v>
      </c>
      <c r="D37" s="162">
        <v>195.78</v>
      </c>
      <c r="E37" s="162">
        <v>51.2</v>
      </c>
      <c r="F37" s="179">
        <f>+SUM(C37:E37)</f>
        <v>751.8900000000001</v>
      </c>
      <c r="H37" s="157" t="s">
        <v>5</v>
      </c>
      <c r="I37" s="150">
        <v>62.98</v>
      </c>
      <c r="J37" s="150">
        <v>91.01</v>
      </c>
      <c r="K37" s="150">
        <v>322.92</v>
      </c>
      <c r="L37" s="150">
        <v>24</v>
      </c>
      <c r="M37" s="150">
        <v>4</v>
      </c>
      <c r="N37" s="179">
        <f>+SUM(I37:M37)</f>
        <v>504.91</v>
      </c>
    </row>
    <row r="38" spans="2:14" x14ac:dyDescent="0.25">
      <c r="B38" s="157" t="s">
        <v>177</v>
      </c>
      <c r="C38" s="162">
        <v>6659.46</v>
      </c>
      <c r="D38" s="162">
        <v>3313.33</v>
      </c>
      <c r="E38" s="162">
        <v>1211.8900000000001</v>
      </c>
      <c r="F38" s="179">
        <f>+SUM(C38:E38)</f>
        <v>11184.68</v>
      </c>
      <c r="H38" s="157" t="s">
        <v>177</v>
      </c>
      <c r="I38" s="150">
        <v>3421.26</v>
      </c>
      <c r="J38" s="150">
        <v>1384.38</v>
      </c>
      <c r="K38" s="150">
        <v>1419.82</v>
      </c>
      <c r="L38" s="150">
        <v>5</v>
      </c>
      <c r="M38" s="150">
        <v>429</v>
      </c>
      <c r="N38" s="179">
        <f t="shared" ref="N38:N41" si="12">+SUM(I38:M38)</f>
        <v>6659.46</v>
      </c>
    </row>
    <row r="39" spans="2:14" x14ac:dyDescent="0.25">
      <c r="B39" s="157" t="s">
        <v>6</v>
      </c>
      <c r="C39" s="162">
        <v>700.78</v>
      </c>
      <c r="D39" s="162">
        <v>638.4</v>
      </c>
      <c r="E39" s="162">
        <v>427.04</v>
      </c>
      <c r="F39" s="179">
        <f>+SUM(C39:E39)</f>
        <v>1766.2199999999998</v>
      </c>
      <c r="H39" s="157" t="s">
        <v>6</v>
      </c>
      <c r="I39" s="150">
        <v>309.22000000000003</v>
      </c>
      <c r="J39" s="150">
        <v>141.31</v>
      </c>
      <c r="K39" s="150">
        <v>250.25</v>
      </c>
      <c r="L39" s="150">
        <v>0</v>
      </c>
      <c r="M39" s="150">
        <v>0</v>
      </c>
      <c r="N39" s="179">
        <f t="shared" si="12"/>
        <v>700.78</v>
      </c>
    </row>
    <row r="40" spans="2:14" x14ac:dyDescent="0.25">
      <c r="B40" s="157" t="s">
        <v>7</v>
      </c>
      <c r="C40" s="162">
        <v>1588.21</v>
      </c>
      <c r="D40" s="162">
        <v>1554.74</v>
      </c>
      <c r="E40" s="162">
        <v>1064.74</v>
      </c>
      <c r="F40" s="179">
        <f>+SUM(C40:E40)</f>
        <v>4207.6899999999996</v>
      </c>
      <c r="H40" s="157" t="s">
        <v>7</v>
      </c>
      <c r="I40" s="150">
        <v>153.11000000000001</v>
      </c>
      <c r="J40" s="150">
        <v>196.09</v>
      </c>
      <c r="K40" s="150">
        <v>1109.01</v>
      </c>
      <c r="L40" s="150">
        <v>38</v>
      </c>
      <c r="M40" s="150">
        <v>92</v>
      </c>
      <c r="N40" s="179">
        <f t="shared" si="12"/>
        <v>1588.21</v>
      </c>
    </row>
    <row r="41" spans="2:14" x14ac:dyDescent="0.25">
      <c r="B41" s="157" t="s">
        <v>178</v>
      </c>
      <c r="C41" s="162" t="s">
        <v>128</v>
      </c>
      <c r="D41" s="162" t="s">
        <v>128</v>
      </c>
      <c r="E41" s="162" t="s">
        <v>128</v>
      </c>
      <c r="F41" s="179">
        <f>+SUM(C41:E41)</f>
        <v>0</v>
      </c>
      <c r="H41" s="157" t="s">
        <v>178</v>
      </c>
      <c r="I41" s="150" t="s">
        <v>128</v>
      </c>
      <c r="J41" s="150" t="s">
        <v>128</v>
      </c>
      <c r="K41" s="150" t="s">
        <v>128</v>
      </c>
      <c r="L41" s="150" t="s">
        <v>128</v>
      </c>
      <c r="M41" s="150" t="s">
        <v>128</v>
      </c>
      <c r="N41" s="179">
        <f t="shared" si="12"/>
        <v>0</v>
      </c>
    </row>
    <row r="42" spans="2:14" x14ac:dyDescent="0.25">
      <c r="B42" s="159" t="s">
        <v>8</v>
      </c>
      <c r="C42" s="164">
        <f>+SUM(C37:C41)</f>
        <v>9453.36</v>
      </c>
      <c r="D42" s="164">
        <f>+SUM(D37:D41)</f>
        <v>5702.25</v>
      </c>
      <c r="E42" s="164">
        <f>+SUM(E37:E41)</f>
        <v>2754.87</v>
      </c>
      <c r="F42" s="164">
        <f>+SUM(F37:F41)</f>
        <v>17910.48</v>
      </c>
      <c r="H42" s="159" t="s">
        <v>8</v>
      </c>
      <c r="I42" s="164">
        <f>+SUM(I37:I41)</f>
        <v>3946.57</v>
      </c>
      <c r="J42" s="164">
        <f>+SUM(J37:J41)</f>
        <v>1812.79</v>
      </c>
      <c r="K42" s="164">
        <f>+SUM(K37:K41)</f>
        <v>3102</v>
      </c>
      <c r="L42" s="164">
        <f>+SUM(L37:L41)</f>
        <v>67</v>
      </c>
      <c r="M42" s="164">
        <f t="shared" ref="M42:N42" si="13">+SUM(M37:M41)</f>
        <v>525</v>
      </c>
      <c r="N42" s="164">
        <f t="shared" si="13"/>
        <v>9453.36</v>
      </c>
    </row>
    <row r="43" spans="2:14" x14ac:dyDescent="0.25">
      <c r="B43" s="173">
        <v>2009</v>
      </c>
      <c r="C43" s="162"/>
      <c r="D43" s="162"/>
      <c r="E43" s="162"/>
      <c r="F43" s="179"/>
      <c r="H43" s="173">
        <v>2009</v>
      </c>
      <c r="I43" s="150"/>
      <c r="J43" s="150"/>
      <c r="K43" s="150"/>
      <c r="L43" s="150"/>
      <c r="M43" s="150"/>
      <c r="N43" s="200"/>
    </row>
    <row r="44" spans="2:14" x14ac:dyDescent="0.25">
      <c r="B44" s="157" t="s">
        <v>5</v>
      </c>
      <c r="C44" s="162">
        <v>506.45</v>
      </c>
      <c r="D44" s="162">
        <v>198.74</v>
      </c>
      <c r="E44" s="162">
        <v>51.37</v>
      </c>
      <c r="F44" s="179">
        <f>+SUM(C44:E44)</f>
        <v>756.56000000000006</v>
      </c>
      <c r="H44" s="157" t="s">
        <v>5</v>
      </c>
      <c r="I44" s="150">
        <v>57.45</v>
      </c>
      <c r="J44" s="150">
        <v>92.18</v>
      </c>
      <c r="K44" s="150">
        <v>328.82</v>
      </c>
      <c r="L44" s="150">
        <v>24</v>
      </c>
      <c r="M44" s="150">
        <v>4</v>
      </c>
      <c r="N44" s="179">
        <f>+SUM(I44:M44)</f>
        <v>506.45</v>
      </c>
    </row>
    <row r="45" spans="2:14" x14ac:dyDescent="0.25">
      <c r="B45" s="157" t="s">
        <v>177</v>
      </c>
      <c r="C45" s="162">
        <v>6260.95</v>
      </c>
      <c r="D45" s="162">
        <v>3066.8</v>
      </c>
      <c r="E45" s="162">
        <v>1097.8499999999999</v>
      </c>
      <c r="F45" s="179">
        <f>+SUM(C45:E45)</f>
        <v>10425.6</v>
      </c>
      <c r="H45" s="157" t="s">
        <v>177</v>
      </c>
      <c r="I45" s="150">
        <v>3177.6</v>
      </c>
      <c r="J45" s="150">
        <v>1289.99</v>
      </c>
      <c r="K45" s="150">
        <v>1352.36</v>
      </c>
      <c r="L45" s="150">
        <v>1</v>
      </c>
      <c r="M45" s="150">
        <v>440</v>
      </c>
      <c r="N45" s="179">
        <f t="shared" ref="N45:N48" si="14">+SUM(I45:M45)</f>
        <v>6260.95</v>
      </c>
    </row>
    <row r="46" spans="2:14" x14ac:dyDescent="0.25">
      <c r="B46" s="157" t="s">
        <v>6</v>
      </c>
      <c r="C46" s="162">
        <v>689.45</v>
      </c>
      <c r="D46" s="162">
        <v>601.71</v>
      </c>
      <c r="E46" s="162">
        <v>467.86</v>
      </c>
      <c r="F46" s="179">
        <f>+SUM(C46:E46)</f>
        <v>1759.02</v>
      </c>
      <c r="H46" s="157" t="s">
        <v>6</v>
      </c>
      <c r="I46" s="150">
        <v>296.38</v>
      </c>
      <c r="J46" s="150">
        <v>141.33000000000001</v>
      </c>
      <c r="K46" s="150">
        <v>251.74</v>
      </c>
      <c r="L46" s="150">
        <v>0</v>
      </c>
      <c r="M46" s="150">
        <v>0</v>
      </c>
      <c r="N46" s="179">
        <f t="shared" si="14"/>
        <v>689.45</v>
      </c>
    </row>
    <row r="47" spans="2:14" x14ac:dyDescent="0.25">
      <c r="B47" s="157" t="s">
        <v>7</v>
      </c>
      <c r="C47" s="162">
        <v>1313.66</v>
      </c>
      <c r="D47" s="162">
        <v>1445.1</v>
      </c>
      <c r="E47" s="162">
        <v>910.55</v>
      </c>
      <c r="F47" s="179">
        <f>+SUM(C47:E47)</f>
        <v>3669.3100000000004</v>
      </c>
      <c r="H47" s="157" t="s">
        <v>7</v>
      </c>
      <c r="I47" s="150">
        <v>150.32</v>
      </c>
      <c r="J47" s="150">
        <v>206.54</v>
      </c>
      <c r="K47" s="150">
        <v>861.8</v>
      </c>
      <c r="L47" s="150">
        <v>34</v>
      </c>
      <c r="M47" s="150">
        <v>61</v>
      </c>
      <c r="N47" s="179">
        <f t="shared" si="14"/>
        <v>1313.6599999999999</v>
      </c>
    </row>
    <row r="48" spans="2:14" x14ac:dyDescent="0.25">
      <c r="B48" s="157" t="s">
        <v>178</v>
      </c>
      <c r="C48" s="162" t="s">
        <v>128</v>
      </c>
      <c r="D48" s="162" t="s">
        <v>128</v>
      </c>
      <c r="E48" s="162" t="s">
        <v>128</v>
      </c>
      <c r="F48" s="179">
        <f>+SUM(C48:E48)</f>
        <v>0</v>
      </c>
      <c r="H48" s="157" t="s">
        <v>178</v>
      </c>
      <c r="I48" s="150" t="s">
        <v>128</v>
      </c>
      <c r="J48" s="150" t="s">
        <v>128</v>
      </c>
      <c r="K48" s="150" t="s">
        <v>128</v>
      </c>
      <c r="L48" s="150" t="s">
        <v>128</v>
      </c>
      <c r="M48" s="150" t="s">
        <v>128</v>
      </c>
      <c r="N48" s="179">
        <f t="shared" si="14"/>
        <v>0</v>
      </c>
    </row>
    <row r="49" spans="2:14" x14ac:dyDescent="0.25">
      <c r="B49" s="159" t="s">
        <v>8</v>
      </c>
      <c r="C49" s="164">
        <f>+SUM(C44:C48)</f>
        <v>8770.51</v>
      </c>
      <c r="D49" s="164">
        <f>+SUM(D44:D48)</f>
        <v>5312.35</v>
      </c>
      <c r="E49" s="164">
        <f>+SUM(E44:E48)</f>
        <v>2527.63</v>
      </c>
      <c r="F49" s="164">
        <f>+SUM(F44:F48)</f>
        <v>16610.490000000002</v>
      </c>
      <c r="H49" s="159" t="s">
        <v>8</v>
      </c>
      <c r="I49" s="164">
        <f>+SUM(I44:I48)</f>
        <v>3681.75</v>
      </c>
      <c r="J49" s="164">
        <f>+SUM(J44:J48)</f>
        <v>1730.04</v>
      </c>
      <c r="K49" s="164">
        <f>+SUM(K44:K48)</f>
        <v>2794.72</v>
      </c>
      <c r="L49" s="164">
        <f>+SUM(L44:L48)</f>
        <v>59</v>
      </c>
      <c r="M49" s="164">
        <f t="shared" ref="M49:N49" si="15">+SUM(M44:M48)</f>
        <v>505</v>
      </c>
      <c r="N49" s="164">
        <f t="shared" si="15"/>
        <v>8770.5099999999984</v>
      </c>
    </row>
    <row r="51" spans="2:14" x14ac:dyDescent="0.25">
      <c r="B51" s="202" t="s">
        <v>373</v>
      </c>
    </row>
    <row r="52" spans="2:14" x14ac:dyDescent="0.25">
      <c r="H52" s="204"/>
      <c r="I52" s="204"/>
      <c r="J52" s="204"/>
      <c r="K52" s="204"/>
      <c r="L52" s="204"/>
      <c r="M52" s="204"/>
      <c r="N52" s="204"/>
    </row>
    <row r="53" spans="2:14" x14ac:dyDescent="0.25">
      <c r="B53" s="204"/>
      <c r="C53" s="204"/>
      <c r="D53" s="204"/>
      <c r="E53" s="204"/>
      <c r="F53" s="204"/>
      <c r="H53" s="204"/>
      <c r="I53" s="204"/>
      <c r="J53" s="204"/>
      <c r="K53" s="204"/>
      <c r="L53" s="204"/>
      <c r="M53" s="204"/>
      <c r="N53" s="204"/>
    </row>
    <row r="54" spans="2:14" x14ac:dyDescent="0.25">
      <c r="B54" s="204"/>
      <c r="C54" s="204"/>
      <c r="D54" s="204"/>
      <c r="E54" s="204"/>
      <c r="F54" s="204"/>
      <c r="H54" s="204"/>
      <c r="I54" s="204"/>
      <c r="J54" s="204"/>
      <c r="K54" s="204"/>
      <c r="L54" s="204"/>
      <c r="M54" s="204"/>
      <c r="N54" s="204"/>
    </row>
    <row r="55" spans="2:14" x14ac:dyDescent="0.25">
      <c r="B55" s="204"/>
      <c r="C55" s="204"/>
      <c r="D55" s="204"/>
      <c r="E55" s="204"/>
      <c r="F55" s="204"/>
      <c r="H55" s="204"/>
      <c r="I55" s="204"/>
      <c r="J55" s="204"/>
      <c r="K55" s="204"/>
      <c r="L55" s="204"/>
      <c r="M55" s="204"/>
      <c r="N55" s="204"/>
    </row>
    <row r="56" spans="2:14" x14ac:dyDescent="0.25">
      <c r="B56" s="204"/>
      <c r="C56" s="204"/>
      <c r="D56" s="204"/>
      <c r="E56" s="204"/>
      <c r="F56" s="204"/>
      <c r="H56" s="204"/>
      <c r="I56" s="204"/>
      <c r="J56" s="204"/>
      <c r="K56" s="204"/>
      <c r="L56" s="204"/>
      <c r="M56" s="204"/>
      <c r="N56" s="204"/>
    </row>
    <row r="57" spans="2:14" x14ac:dyDescent="0.25">
      <c r="H57" s="204"/>
      <c r="I57" s="204"/>
      <c r="J57" s="204"/>
      <c r="K57" s="204"/>
      <c r="L57" s="204"/>
      <c r="M57" s="204"/>
      <c r="N57" s="204"/>
    </row>
  </sheetData>
  <sheetProtection password="C69F" sheet="1" objects="1" scenarios="1"/>
  <mergeCells count="2">
    <mergeCell ref="B6:F6"/>
    <mergeCell ref="H6:N6"/>
  </mergeCells>
  <hyperlinks>
    <hyperlink ref="A1" location="ÍNDICE!A1" display="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J44"/>
  <sheetViews>
    <sheetView zoomScale="90" zoomScaleNormal="90" workbookViewId="0"/>
  </sheetViews>
  <sheetFormatPr baseColWidth="10" defaultRowHeight="15" x14ac:dyDescent="0.25"/>
  <cols>
    <col min="3" max="3" width="44.42578125" bestFit="1" customWidth="1"/>
    <col min="5" max="5" width="12.5703125" customWidth="1"/>
    <col min="7" max="7" width="14.7109375" bestFit="1" customWidth="1"/>
  </cols>
  <sheetData>
    <row r="1" spans="1:10" s="54" customFormat="1" x14ac:dyDescent="0.25">
      <c r="A1" s="59" t="s">
        <v>132</v>
      </c>
    </row>
    <row r="2" spans="1:10" x14ac:dyDescent="0.25">
      <c r="A2" s="1" t="s">
        <v>419</v>
      </c>
    </row>
    <row r="4" spans="1:10" s="37" customFormat="1" x14ac:dyDescent="0.25">
      <c r="A4" s="58" t="s">
        <v>103</v>
      </c>
      <c r="B4" s="54" t="s">
        <v>581</v>
      </c>
    </row>
    <row r="6" spans="1:10" x14ac:dyDescent="0.25">
      <c r="B6" s="651" t="s">
        <v>73</v>
      </c>
      <c r="C6" s="651"/>
      <c r="D6" s="672" t="s">
        <v>646</v>
      </c>
      <c r="E6" s="672"/>
      <c r="F6" s="672"/>
      <c r="G6" s="672"/>
      <c r="H6" s="672"/>
    </row>
    <row r="7" spans="1:10" ht="15.75" thickBot="1" x14ac:dyDescent="0.3">
      <c r="B7" s="652"/>
      <c r="C7" s="652"/>
      <c r="D7" s="12" t="s">
        <v>5</v>
      </c>
      <c r="E7" s="12" t="s">
        <v>51</v>
      </c>
      <c r="F7" s="12" t="s">
        <v>6</v>
      </c>
      <c r="G7" s="12" t="s">
        <v>7</v>
      </c>
      <c r="H7" s="52" t="s">
        <v>8</v>
      </c>
    </row>
    <row r="8" spans="1:10" ht="15.75" thickTop="1" x14ac:dyDescent="0.25">
      <c r="B8" s="38" t="s">
        <v>76</v>
      </c>
      <c r="C8" s="9" t="s">
        <v>77</v>
      </c>
      <c r="D8" s="161">
        <v>0</v>
      </c>
      <c r="E8" s="161">
        <f>4592.52511978/100</f>
        <v>45.925251197800002</v>
      </c>
      <c r="F8" s="161">
        <f>5186.47990417/100</f>
        <v>51.864799041699996</v>
      </c>
      <c r="G8" s="161">
        <f>3564.48852539/100</f>
        <v>35.6448852539</v>
      </c>
      <c r="H8" s="162">
        <f>SUM(D8:G8)</f>
        <v>133.43493549340002</v>
      </c>
      <c r="J8" s="56"/>
    </row>
    <row r="9" spans="1:10" x14ac:dyDescent="0.25">
      <c r="B9" s="39" t="s">
        <v>78</v>
      </c>
      <c r="C9" s="10" t="s">
        <v>79</v>
      </c>
      <c r="D9" s="162">
        <f>91.5740509033/100</f>
        <v>0.91574050903300008</v>
      </c>
      <c r="E9" s="162">
        <f>34436.6880722/100</f>
        <v>344.36688072199996</v>
      </c>
      <c r="F9" s="162">
        <f>4913.23413086/100</f>
        <v>49.132341308599997</v>
      </c>
      <c r="G9" s="162">
        <f>57650.2040405/100</f>
        <v>576.502040405</v>
      </c>
      <c r="H9" s="162">
        <f t="shared" ref="H9:H21" si="0">SUM(D9:G9)</f>
        <v>970.91700294463294</v>
      </c>
      <c r="J9" s="56"/>
    </row>
    <row r="10" spans="1:10" x14ac:dyDescent="0.25">
      <c r="B10" s="39" t="s">
        <v>80</v>
      </c>
      <c r="C10" s="10" t="s">
        <v>81</v>
      </c>
      <c r="D10" s="162">
        <f>1674.56140137/100</f>
        <v>16.745614013700003</v>
      </c>
      <c r="E10" s="162">
        <f>6809.71891975/100</f>
        <v>68.097189197500001</v>
      </c>
      <c r="F10" s="162">
        <f>1589.27615356/100</f>
        <v>15.8927615356</v>
      </c>
      <c r="G10" s="162">
        <f>7806.2628479/100</f>
        <v>78.062628479000011</v>
      </c>
      <c r="H10" s="162">
        <f t="shared" si="0"/>
        <v>178.79819322580002</v>
      </c>
      <c r="J10" s="56"/>
    </row>
    <row r="11" spans="1:10" x14ac:dyDescent="0.25">
      <c r="B11" s="39" t="s">
        <v>82</v>
      </c>
      <c r="C11" s="10" t="s">
        <v>83</v>
      </c>
      <c r="D11" s="162">
        <f>2763.02728271/100</f>
        <v>27.630272827099997</v>
      </c>
      <c r="E11" s="162">
        <f>16060.8458061/100</f>
        <v>160.60845806099999</v>
      </c>
      <c r="F11" s="162">
        <f>9728.09482956/100</f>
        <v>97.280948295599998</v>
      </c>
      <c r="G11" s="162">
        <f>9061.80473328/100</f>
        <v>90.618047332800003</v>
      </c>
      <c r="H11" s="162">
        <f t="shared" si="0"/>
        <v>376.13772651649998</v>
      </c>
      <c r="J11" s="56"/>
    </row>
    <row r="12" spans="1:10" x14ac:dyDescent="0.25">
      <c r="B12" s="39" t="s">
        <v>84</v>
      </c>
      <c r="C12" s="10" t="s">
        <v>85</v>
      </c>
      <c r="D12" s="162">
        <f>5120.60148621/100</f>
        <v>51.206014862099998</v>
      </c>
      <c r="E12" s="162">
        <f>98294.0936852/100</f>
        <v>982.94093685200005</v>
      </c>
      <c r="F12" s="162">
        <f>33930.8809052/100</f>
        <v>339.30880905200002</v>
      </c>
      <c r="G12" s="162">
        <f>41827.1120949/100</f>
        <v>418.27112094900002</v>
      </c>
      <c r="H12" s="162">
        <f t="shared" si="0"/>
        <v>1791.7268817151</v>
      </c>
      <c r="J12" s="56"/>
    </row>
    <row r="13" spans="1:10" x14ac:dyDescent="0.25">
      <c r="B13" s="39" t="s">
        <v>86</v>
      </c>
      <c r="C13" s="10" t="s">
        <v>87</v>
      </c>
      <c r="D13" s="162">
        <f>4000/100</f>
        <v>40</v>
      </c>
      <c r="E13" s="162">
        <f>4225.82291985/100</f>
        <v>42.258229198500004</v>
      </c>
      <c r="F13" s="162">
        <f>2278.28543091/100</f>
        <v>22.782854309099999</v>
      </c>
      <c r="G13" s="162">
        <f>20829.7824717/100</f>
        <v>208.297824717</v>
      </c>
      <c r="H13" s="162">
        <f t="shared" si="0"/>
        <v>313.3389082246</v>
      </c>
      <c r="J13" s="56"/>
    </row>
    <row r="14" spans="1:10" x14ac:dyDescent="0.25">
      <c r="B14" s="39" t="s">
        <v>88</v>
      </c>
      <c r="C14" s="10" t="s">
        <v>89</v>
      </c>
      <c r="D14" s="162">
        <f>7671.29577637/100</f>
        <v>76.71295776369999</v>
      </c>
      <c r="E14" s="162">
        <f>30726.0059452/100</f>
        <v>307.26005945200001</v>
      </c>
      <c r="F14" s="162">
        <f>4502.99780273/100</f>
        <v>45.029978027300004</v>
      </c>
      <c r="G14" s="162">
        <f>10866.0859089/100</f>
        <v>108.660859089</v>
      </c>
      <c r="H14" s="162">
        <f t="shared" si="0"/>
        <v>537.66385433200003</v>
      </c>
      <c r="J14" s="56"/>
    </row>
    <row r="15" spans="1:10" x14ac:dyDescent="0.25">
      <c r="B15" s="39" t="s">
        <v>90</v>
      </c>
      <c r="C15" s="10" t="s">
        <v>91</v>
      </c>
      <c r="D15" s="162">
        <f>20669.9660568/100</f>
        <v>206.69966056800001</v>
      </c>
      <c r="E15" s="162">
        <f>106009.371847/100</f>
        <v>1060.0937184700001</v>
      </c>
      <c r="F15" s="162">
        <f>14846.1939201/100</f>
        <v>148.46193920100001</v>
      </c>
      <c r="G15" s="162">
        <f>51112.8642406/100</f>
        <v>511.12864240599998</v>
      </c>
      <c r="H15" s="162">
        <f t="shared" si="0"/>
        <v>1926.3839606450001</v>
      </c>
      <c r="J15" s="56"/>
    </row>
    <row r="16" spans="1:10" x14ac:dyDescent="0.25">
      <c r="B16" s="39" t="s">
        <v>92</v>
      </c>
      <c r="C16" s="10" t="s">
        <v>186</v>
      </c>
      <c r="D16" s="162">
        <f>9733.33300781/100</f>
        <v>97.333330078100005</v>
      </c>
      <c r="E16" s="162">
        <f>43330.6009035/100</f>
        <v>433.30600903500005</v>
      </c>
      <c r="F16" s="162">
        <f>7463.17168808/100</f>
        <v>74.631716880799999</v>
      </c>
      <c r="G16" s="162">
        <f>18621.2100067/100</f>
        <v>186.21210006699999</v>
      </c>
      <c r="H16" s="162">
        <f t="shared" si="0"/>
        <v>791.4831560609</v>
      </c>
      <c r="J16" s="56"/>
    </row>
    <row r="17" spans="2:10" x14ac:dyDescent="0.25">
      <c r="B17" s="39" t="s">
        <v>95</v>
      </c>
      <c r="C17" s="10" t="s">
        <v>96</v>
      </c>
      <c r="D17" s="162">
        <f>6968.51855469/100</f>
        <v>69.685185546900001</v>
      </c>
      <c r="E17" s="162">
        <f>5106.74598598/100</f>
        <v>51.067459859800003</v>
      </c>
      <c r="F17" s="162">
        <f>20589.0722504/100</f>
        <v>205.890722504</v>
      </c>
      <c r="G17" s="162">
        <f>18830.0442505/100</f>
        <v>188.30044250499998</v>
      </c>
      <c r="H17" s="162">
        <f t="shared" si="0"/>
        <v>514.9438104157</v>
      </c>
      <c r="J17" s="56"/>
    </row>
    <row r="18" spans="2:10" x14ac:dyDescent="0.25">
      <c r="B18" s="39" t="s">
        <v>97</v>
      </c>
      <c r="C18" s="10" t="s">
        <v>98</v>
      </c>
      <c r="D18" s="162">
        <f>2558.56958008/100</f>
        <v>25.5856958008</v>
      </c>
      <c r="E18" s="162">
        <f>1010.86112118/100</f>
        <v>10.108611211800001</v>
      </c>
      <c r="F18" s="162">
        <f>2380.33770752/100</f>
        <v>23.8033770752</v>
      </c>
      <c r="G18" s="162">
        <f>468.749706268/100</f>
        <v>4.6874970626800003</v>
      </c>
      <c r="H18" s="162">
        <f t="shared" si="0"/>
        <v>64.185181150479991</v>
      </c>
      <c r="J18" s="56"/>
    </row>
    <row r="19" spans="2:10" x14ac:dyDescent="0.25">
      <c r="B19" s="39" t="s">
        <v>99</v>
      </c>
      <c r="C19" s="10" t="s">
        <v>100</v>
      </c>
      <c r="D19" s="162">
        <f>5908.33300781/100</f>
        <v>59.083330078099998</v>
      </c>
      <c r="E19" s="162">
        <f>4985.90141582/100</f>
        <v>49.859014158199997</v>
      </c>
      <c r="F19" s="162">
        <f>6786.23355103/100</f>
        <v>67.862335510299999</v>
      </c>
      <c r="G19" s="162">
        <f>1237.08285522/100</f>
        <v>12.370828552200001</v>
      </c>
      <c r="H19" s="162">
        <f t="shared" si="0"/>
        <v>189.1755082988</v>
      </c>
      <c r="J19" s="56"/>
    </row>
    <row r="20" spans="2:10" x14ac:dyDescent="0.25">
      <c r="B20" s="39" t="s">
        <v>101</v>
      </c>
      <c r="C20" s="10" t="s">
        <v>102</v>
      </c>
      <c r="D20" s="162">
        <f>117489.818016/100</f>
        <v>1174.89818016</v>
      </c>
      <c r="E20" s="162">
        <f>846089.849387/100</f>
        <v>8460.8984938699996</v>
      </c>
      <c r="F20" s="162">
        <f>61912.3797302/100</f>
        <v>619.12379730200007</v>
      </c>
      <c r="G20" s="162">
        <f>364695.949021/100</f>
        <v>3646.9594902100002</v>
      </c>
      <c r="H20" s="162">
        <f t="shared" si="0"/>
        <v>13901.879961541999</v>
      </c>
      <c r="J20" s="56"/>
    </row>
    <row r="21" spans="2:10" x14ac:dyDescent="0.25">
      <c r="B21" s="39" t="s">
        <v>93</v>
      </c>
      <c r="C21" s="10" t="s">
        <v>94</v>
      </c>
      <c r="D21" s="162">
        <f xml:space="preserve"> 2870.01551819/100</f>
        <v>28.700155181900001</v>
      </c>
      <c r="E21" s="162">
        <f>65093.7528629/100</f>
        <v>650.93752862899998</v>
      </c>
      <c r="F21" s="162">
        <f>13994.8867493/100</f>
        <v>139.94886749299999</v>
      </c>
      <c r="G21" s="162">
        <f>5084.45467377/100</f>
        <v>50.8445467377</v>
      </c>
      <c r="H21" s="162">
        <f t="shared" si="0"/>
        <v>870.43109804159985</v>
      </c>
      <c r="J21" s="56"/>
    </row>
    <row r="22" spans="2:10" x14ac:dyDescent="0.25">
      <c r="B22" s="32" t="s">
        <v>74</v>
      </c>
      <c r="C22" s="11" t="s">
        <v>75</v>
      </c>
      <c r="D22" s="163">
        <f>288.706924438/100</f>
        <v>2.8870692443799997</v>
      </c>
      <c r="E22" s="163">
        <f>10583.3728056/100</f>
        <v>105.833728056</v>
      </c>
      <c r="F22" s="163">
        <f>3890.12911987/100</f>
        <v>38.901291198700001</v>
      </c>
      <c r="G22" s="163">
        <f>47473.0475121/100</f>
        <v>474.73047512099998</v>
      </c>
      <c r="H22" s="162">
        <f>SUM(D22:G22)</f>
        <v>622.35256362007999</v>
      </c>
      <c r="J22" s="56"/>
    </row>
    <row r="23" spans="2:10" x14ac:dyDescent="0.25">
      <c r="B23" s="11"/>
      <c r="C23" s="11" t="s">
        <v>2</v>
      </c>
      <c r="D23" s="164">
        <f>SUM(D8:D22)</f>
        <v>1878.083206633813</v>
      </c>
      <c r="E23" s="164">
        <f t="shared" ref="E23:H23" si="1">SUM(E8:E22)</f>
        <v>12773.561567970601</v>
      </c>
      <c r="F23" s="164">
        <f t="shared" si="1"/>
        <v>1939.9165387348999</v>
      </c>
      <c r="G23" s="164">
        <f t="shared" si="1"/>
        <v>6591.2914288872798</v>
      </c>
      <c r="H23" s="168">
        <f t="shared" si="1"/>
        <v>23182.852742226594</v>
      </c>
      <c r="J23" s="56"/>
    </row>
    <row r="24" spans="2:10" s="149" customFormat="1" x14ac:dyDescent="0.25">
      <c r="B24" s="89" t="s">
        <v>599</v>
      </c>
      <c r="J24" s="147"/>
    </row>
    <row r="26" spans="2:10" x14ac:dyDescent="0.25">
      <c r="B26" s="651" t="s">
        <v>73</v>
      </c>
      <c r="C26" s="651"/>
      <c r="D26" s="672" t="s">
        <v>647</v>
      </c>
      <c r="E26" s="672"/>
      <c r="F26" s="672"/>
      <c r="G26" s="672"/>
      <c r="H26" s="672"/>
      <c r="I26" s="137"/>
    </row>
    <row r="27" spans="2:10" ht="15.75" thickBot="1" x14ac:dyDescent="0.3">
      <c r="B27" s="652"/>
      <c r="C27" s="652"/>
      <c r="D27" s="160" t="s">
        <v>5</v>
      </c>
      <c r="E27" s="160" t="s">
        <v>51</v>
      </c>
      <c r="F27" s="160" t="s">
        <v>6</v>
      </c>
      <c r="G27" s="160" t="s">
        <v>7</v>
      </c>
      <c r="H27" s="160" t="s">
        <v>8</v>
      </c>
      <c r="I27" s="137"/>
    </row>
    <row r="28" spans="2:10" ht="15.75" thickTop="1" x14ac:dyDescent="0.25">
      <c r="B28" s="174" t="s">
        <v>76</v>
      </c>
      <c r="C28" s="155" t="s">
        <v>77</v>
      </c>
      <c r="D28" s="161">
        <v>0</v>
      </c>
      <c r="E28" s="161">
        <f>3161.59119987/100</f>
        <v>31.6159119987</v>
      </c>
      <c r="F28" s="161">
        <f>3784.92103767/100</f>
        <v>37.8492103767</v>
      </c>
      <c r="G28" s="161">
        <f>2571.92541504/100</f>
        <v>25.719254150400001</v>
      </c>
      <c r="H28" s="162">
        <f>SUM(D28:G28)</f>
        <v>95.184376525800005</v>
      </c>
      <c r="I28" s="137"/>
    </row>
    <row r="29" spans="2:10" x14ac:dyDescent="0.25">
      <c r="B29" s="175" t="s">
        <v>78</v>
      </c>
      <c r="C29" s="157" t="s">
        <v>79</v>
      </c>
      <c r="D29" s="162">
        <f>74.3610916138/100</f>
        <v>0.74361091613800001</v>
      </c>
      <c r="E29" s="162">
        <f>20485.8439465/100</f>
        <v>204.858439465</v>
      </c>
      <c r="F29" s="162">
        <f>4137.95493603/100</f>
        <v>41.379549360299997</v>
      </c>
      <c r="G29" s="162">
        <f>45291.1058044/100</f>
        <v>452.91105804400001</v>
      </c>
      <c r="H29" s="162">
        <f t="shared" ref="H29:H42" si="2">SUM(D29:G29)</f>
        <v>699.89265778543802</v>
      </c>
      <c r="I29" s="137"/>
    </row>
    <row r="30" spans="2:10" x14ac:dyDescent="0.25">
      <c r="B30" s="175" t="s">
        <v>80</v>
      </c>
      <c r="C30" s="157" t="s">
        <v>81</v>
      </c>
      <c r="D30" s="162">
        <f>1674.56140137/100</f>
        <v>16.745614013700003</v>
      </c>
      <c r="E30" s="162">
        <f>3499.02669525/100</f>
        <v>34.990266952500001</v>
      </c>
      <c r="F30" s="162">
        <f>349.503404617/100</f>
        <v>3.4950340461699998</v>
      </c>
      <c r="G30" s="162">
        <f>6921.3197937/100</f>
        <v>69.213197937000004</v>
      </c>
      <c r="H30" s="162">
        <f t="shared" si="2"/>
        <v>124.44411294937001</v>
      </c>
      <c r="I30" s="137"/>
    </row>
    <row r="31" spans="2:10" x14ac:dyDescent="0.25">
      <c r="B31" s="175" t="s">
        <v>82</v>
      </c>
      <c r="C31" s="157" t="s">
        <v>83</v>
      </c>
      <c r="D31" s="162">
        <f>2718.02728271/100</f>
        <v>27.180272827099998</v>
      </c>
      <c r="E31" s="162">
        <f>7858.71711826/100</f>
        <v>78.587171182600002</v>
      </c>
      <c r="F31" s="162">
        <f>8949.64834404/100</f>
        <v>89.496483440400013</v>
      </c>
      <c r="G31" s="162">
        <f>6203.18364525/100</f>
        <v>62.031836452500002</v>
      </c>
      <c r="H31" s="162">
        <f t="shared" si="2"/>
        <v>257.29576390260002</v>
      </c>
      <c r="I31" s="137"/>
    </row>
    <row r="32" spans="2:10" x14ac:dyDescent="0.25">
      <c r="B32" s="175" t="s">
        <v>84</v>
      </c>
      <c r="C32" s="157" t="s">
        <v>85</v>
      </c>
      <c r="D32" s="162">
        <f>4812.12925339/100</f>
        <v>48.121292533899997</v>
      </c>
      <c r="E32" s="162">
        <f>51164.2608433/100</f>
        <v>511.64260843299996</v>
      </c>
      <c r="F32" s="162">
        <f>29692.1125717/100</f>
        <v>296.921125717</v>
      </c>
      <c r="G32" s="162">
        <f>30327.0379684/100</f>
        <v>303.27037968399998</v>
      </c>
      <c r="H32" s="162">
        <f t="shared" si="2"/>
        <v>1159.9554063679</v>
      </c>
      <c r="I32" s="137"/>
    </row>
    <row r="33" spans="2:9" x14ac:dyDescent="0.25">
      <c r="B33" s="175" t="s">
        <v>86</v>
      </c>
      <c r="C33" s="157" t="s">
        <v>87</v>
      </c>
      <c r="D33" s="162">
        <f>4000/100</f>
        <v>40</v>
      </c>
      <c r="E33" s="162">
        <f>2435.53135014/100</f>
        <v>24.355313501400001</v>
      </c>
      <c r="F33" s="162">
        <f>425.937072754/100</f>
        <v>4.2593707275399995</v>
      </c>
      <c r="G33" s="162">
        <f>16678.2774525/100</f>
        <v>166.78277452499998</v>
      </c>
      <c r="H33" s="162">
        <f t="shared" si="2"/>
        <v>235.39745875393999</v>
      </c>
      <c r="I33" s="137"/>
    </row>
    <row r="34" spans="2:9" x14ac:dyDescent="0.25">
      <c r="B34" s="175" t="s">
        <v>88</v>
      </c>
      <c r="C34" s="157" t="s">
        <v>89</v>
      </c>
      <c r="D34" s="162">
        <f>6215.62927246/100</f>
        <v>62.1562927246</v>
      </c>
      <c r="E34" s="162">
        <f>18833.8422689/100</f>
        <v>188.338422689</v>
      </c>
      <c r="F34" s="162">
        <f>1578.8693161/100</f>
        <v>15.788693161000001</v>
      </c>
      <c r="G34" s="162">
        <f>4790.15188503/100</f>
        <v>47.9015188503</v>
      </c>
      <c r="H34" s="162">
        <f t="shared" si="2"/>
        <v>314.18492742490002</v>
      </c>
      <c r="I34" s="137"/>
    </row>
    <row r="35" spans="2:9" x14ac:dyDescent="0.25">
      <c r="B35" s="175" t="s">
        <v>90</v>
      </c>
      <c r="C35" s="157" t="s">
        <v>91</v>
      </c>
      <c r="D35" s="162">
        <f>18771.5490646/100</f>
        <v>187.71549064600001</v>
      </c>
      <c r="E35" s="162">
        <f>55469.2811279/100</f>
        <v>554.69281127900001</v>
      </c>
      <c r="F35" s="162">
        <f>9479.1694603/100</f>
        <v>94.791694602999996</v>
      </c>
      <c r="G35" s="162">
        <f>40029.9468346/100</f>
        <v>400.29946834599997</v>
      </c>
      <c r="H35" s="162">
        <f t="shared" si="2"/>
        <v>1237.4994648740001</v>
      </c>
      <c r="I35" s="137"/>
    </row>
    <row r="36" spans="2:9" x14ac:dyDescent="0.25">
      <c r="B36" s="175" t="s">
        <v>92</v>
      </c>
      <c r="C36" s="157" t="s">
        <v>186</v>
      </c>
      <c r="D36" s="162">
        <f>5711.24951172/100</f>
        <v>57.112495117199998</v>
      </c>
      <c r="E36" s="162">
        <f>17991.8751221/100</f>
        <v>179.91875122099998</v>
      </c>
      <c r="F36" s="162">
        <f>3783.67778397/100</f>
        <v>37.836777839699998</v>
      </c>
      <c r="G36" s="162">
        <f>14700.3408813/100</f>
        <v>147.00340881299999</v>
      </c>
      <c r="H36" s="162">
        <f t="shared" si="2"/>
        <v>421.87143299089996</v>
      </c>
      <c r="I36" s="137"/>
    </row>
    <row r="37" spans="2:9" x14ac:dyDescent="0.25">
      <c r="B37" s="175" t="s">
        <v>95</v>
      </c>
      <c r="C37" s="157" t="s">
        <v>96</v>
      </c>
      <c r="D37" s="162">
        <f>5072.71972656/100</f>
        <v>50.727197265599997</v>
      </c>
      <c r="E37" s="162">
        <f>2615.35447979/100</f>
        <v>26.1535447979</v>
      </c>
      <c r="F37" s="162">
        <f>17539.3707314/100</f>
        <v>175.39370731399998</v>
      </c>
      <c r="G37" s="162">
        <f>14463.1413841/100</f>
        <v>144.63141384099998</v>
      </c>
      <c r="H37" s="162">
        <f t="shared" si="2"/>
        <v>396.90586321849997</v>
      </c>
      <c r="I37" s="137"/>
    </row>
    <row r="38" spans="2:9" x14ac:dyDescent="0.25">
      <c r="B38" s="175" t="s">
        <v>97</v>
      </c>
      <c r="C38" s="157" t="s">
        <v>98</v>
      </c>
      <c r="D38" s="162">
        <f>1903.56958008/100</f>
        <v>19.035695800799999</v>
      </c>
      <c r="E38" s="162">
        <f>428.089956284/100</f>
        <v>4.2808995628400002</v>
      </c>
      <c r="F38" s="162">
        <f>2339.63458252/100</f>
        <v>23.396345825200001</v>
      </c>
      <c r="G38" s="162">
        <f>337.08310318/100</f>
        <v>3.3708310318000003</v>
      </c>
      <c r="H38" s="162">
        <f t="shared" si="2"/>
        <v>50.08377222064</v>
      </c>
      <c r="I38" s="137"/>
    </row>
    <row r="39" spans="2:9" x14ac:dyDescent="0.25">
      <c r="B39" s="175" t="s">
        <v>99</v>
      </c>
      <c r="C39" s="157" t="s">
        <v>100</v>
      </c>
      <c r="D39" s="162">
        <f>5623.33300781/100</f>
        <v>56.233330078099996</v>
      </c>
      <c r="E39" s="162">
        <f>3217.53479958/100</f>
        <v>32.175347995799996</v>
      </c>
      <c r="F39" s="162">
        <f>6568.46011353/100</f>
        <v>65.684601135299999</v>
      </c>
      <c r="G39" s="162">
        <f>733.824523926/100</f>
        <v>7.3382452392599999</v>
      </c>
      <c r="H39" s="162">
        <f t="shared" si="2"/>
        <v>161.43152444845998</v>
      </c>
      <c r="I39" s="137"/>
    </row>
    <row r="40" spans="2:9" x14ac:dyDescent="0.25">
      <c r="B40" s="175" t="s">
        <v>101</v>
      </c>
      <c r="C40" s="157" t="s">
        <v>102</v>
      </c>
      <c r="D40" s="162">
        <f>77621.434721/100</f>
        <v>776.21434721000003</v>
      </c>
      <c r="E40" s="162">
        <f>510549.420074/100</f>
        <v>5105.4942007400005</v>
      </c>
      <c r="F40" s="162">
        <f>49644.4365997/100</f>
        <v>496.44436599699998</v>
      </c>
      <c r="G40" s="162">
        <f>278537.873016/100</f>
        <v>2785.3787301600005</v>
      </c>
      <c r="H40" s="162">
        <f t="shared" si="2"/>
        <v>9163.5316441070008</v>
      </c>
      <c r="I40" s="137"/>
    </row>
    <row r="41" spans="2:9" x14ac:dyDescent="0.25">
      <c r="B41" s="175" t="s">
        <v>93</v>
      </c>
      <c r="C41" s="157" t="s">
        <v>94</v>
      </c>
      <c r="D41" s="162">
        <f>2843.31414795/100</f>
        <v>28.433141479500001</v>
      </c>
      <c r="E41" s="162">
        <f>32173.4113207/100</f>
        <v>321.73411320700001</v>
      </c>
      <c r="F41" s="162">
        <f>12693.7963867/100</f>
        <v>126.93796386699999</v>
      </c>
      <c r="G41" s="162">
        <f>2667.37544441/100</f>
        <v>26.673754444099998</v>
      </c>
      <c r="H41" s="162">
        <f t="shared" si="2"/>
        <v>503.77897299760002</v>
      </c>
      <c r="I41" s="137"/>
    </row>
    <row r="42" spans="2:9" x14ac:dyDescent="0.25">
      <c r="B42" s="175" t="s">
        <v>74</v>
      </c>
      <c r="C42" s="157" t="s">
        <v>75</v>
      </c>
      <c r="D42" s="162">
        <f>154.421218872/100</f>
        <v>1.54421218872</v>
      </c>
      <c r="E42" s="162">
        <f>6249.622262/100</f>
        <v>62.496222619999998</v>
      </c>
      <c r="F42" s="162">
        <f>2943.04586792/100</f>
        <v>29.430458679200001</v>
      </c>
      <c r="G42" s="162">
        <f>46758.8808479/100</f>
        <v>467.58880847900002</v>
      </c>
      <c r="H42" s="162">
        <f t="shared" si="2"/>
        <v>561.05970196691999</v>
      </c>
      <c r="I42" s="137"/>
    </row>
    <row r="43" spans="2:9" x14ac:dyDescent="0.25">
      <c r="B43" s="166"/>
      <c r="C43" s="166" t="s">
        <v>2</v>
      </c>
      <c r="D43" s="168">
        <f>SUM(D28:D42)</f>
        <v>1371.962992801358</v>
      </c>
      <c r="E43" s="168">
        <f t="shared" ref="E43:H43" si="3">SUM(E28:E42)</f>
        <v>7361.3340256457395</v>
      </c>
      <c r="F43" s="168">
        <f t="shared" si="3"/>
        <v>1539.1053820895097</v>
      </c>
      <c r="G43" s="168">
        <f t="shared" si="3"/>
        <v>5110.1146799973612</v>
      </c>
      <c r="H43" s="168">
        <f t="shared" si="3"/>
        <v>15382.517080533968</v>
      </c>
      <c r="I43" s="137"/>
    </row>
    <row r="44" spans="2:9" x14ac:dyDescent="0.25">
      <c r="B44" s="89" t="s">
        <v>599</v>
      </c>
    </row>
  </sheetData>
  <sheetProtection password="C69F" sheet="1" objects="1" scenarios="1"/>
  <sortState ref="A6:G20">
    <sortCondition ref="A6"/>
  </sortState>
  <mergeCells count="4">
    <mergeCell ref="B6:C7"/>
    <mergeCell ref="D6:H6"/>
    <mergeCell ref="B26:C27"/>
    <mergeCell ref="D26:H26"/>
  </mergeCells>
  <hyperlinks>
    <hyperlink ref="A1" location="ÍNDICE!A1" display="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58"/>
  <sheetViews>
    <sheetView zoomScale="90" zoomScaleNormal="90" workbookViewId="0"/>
  </sheetViews>
  <sheetFormatPr baseColWidth="10" defaultRowHeight="15" x14ac:dyDescent="0.25"/>
  <cols>
    <col min="3" max="3" width="73" customWidth="1"/>
    <col min="4" max="4" width="16.7109375" customWidth="1"/>
  </cols>
  <sheetData>
    <row r="1" spans="1:6" s="54" customFormat="1" x14ac:dyDescent="0.25">
      <c r="A1" s="59" t="s">
        <v>132</v>
      </c>
    </row>
    <row r="2" spans="1:6" x14ac:dyDescent="0.25">
      <c r="A2" s="1" t="s">
        <v>422</v>
      </c>
    </row>
    <row r="4" spans="1:6" x14ac:dyDescent="0.25">
      <c r="A4" s="58" t="s">
        <v>103</v>
      </c>
      <c r="B4" t="s">
        <v>582</v>
      </c>
    </row>
    <row r="6" spans="1:6" x14ac:dyDescent="0.25">
      <c r="B6" s="644" t="s">
        <v>648</v>
      </c>
      <c r="C6" s="644"/>
      <c r="D6" s="644"/>
      <c r="E6" s="644"/>
    </row>
    <row r="7" spans="1:6" ht="15.75" thickBot="1" x14ac:dyDescent="0.3">
      <c r="B7" s="7"/>
      <c r="C7" s="7"/>
      <c r="D7" s="12" t="s">
        <v>104</v>
      </c>
      <c r="E7" s="12" t="s">
        <v>9</v>
      </c>
    </row>
    <row r="8" spans="1:6" ht="15.75" thickTop="1" x14ac:dyDescent="0.25">
      <c r="B8" s="9" t="s">
        <v>105</v>
      </c>
      <c r="C8" s="9" t="s">
        <v>22</v>
      </c>
      <c r="D8" s="161">
        <f>68.4375+81.95833</f>
        <v>150.39582999999999</v>
      </c>
      <c r="E8" s="639">
        <f>D8/$D$27</f>
        <v>4.9104499671079854E-2</v>
      </c>
      <c r="F8" s="227"/>
    </row>
    <row r="9" spans="1:6" x14ac:dyDescent="0.25">
      <c r="B9" s="10" t="s">
        <v>106</v>
      </c>
      <c r="C9" s="10" t="s">
        <v>23</v>
      </c>
      <c r="D9" s="162">
        <f>184.7917</f>
        <v>184.79169999999999</v>
      </c>
      <c r="E9" s="638">
        <f>D9/$D$27</f>
        <v>6.0334810957646152E-2</v>
      </c>
      <c r="F9" s="227"/>
    </row>
    <row r="10" spans="1:6" x14ac:dyDescent="0.25">
      <c r="B10" s="10" t="s">
        <v>107</v>
      </c>
      <c r="C10" s="10" t="s">
        <v>24</v>
      </c>
      <c r="D10" s="162">
        <f>444.8541+197.5625+326.1875</f>
        <v>968.60410000000002</v>
      </c>
      <c r="E10" s="638">
        <f t="shared" ref="E10:E26" si="0">D10/$D$27</f>
        <v>0.31625092071938832</v>
      </c>
      <c r="F10" s="227"/>
    </row>
    <row r="11" spans="1:6" x14ac:dyDescent="0.25">
      <c r="B11" s="10" t="s">
        <v>108</v>
      </c>
      <c r="C11" s="10" t="s">
        <v>25</v>
      </c>
      <c r="D11" s="162">
        <v>38.416670000000003</v>
      </c>
      <c r="E11" s="638">
        <f t="shared" si="0"/>
        <v>1.2543109469052325E-2</v>
      </c>
      <c r="F11" s="227"/>
    </row>
    <row r="12" spans="1:6" x14ac:dyDescent="0.25">
      <c r="B12" s="10" t="s">
        <v>109</v>
      </c>
      <c r="C12" s="10" t="s">
        <v>26</v>
      </c>
      <c r="D12" s="162">
        <v>23.41666</v>
      </c>
      <c r="E12" s="638">
        <f t="shared" si="0"/>
        <v>7.6455801551664629E-3</v>
      </c>
      <c r="F12" s="227"/>
    </row>
    <row r="13" spans="1:6" x14ac:dyDescent="0.25">
      <c r="B13" s="10" t="s">
        <v>110</v>
      </c>
      <c r="C13" s="10" t="s">
        <v>27</v>
      </c>
      <c r="D13" s="162">
        <v>61.166670000000003</v>
      </c>
      <c r="E13" s="638">
        <f t="shared" si="0"/>
        <v>1.9971023976502876E-2</v>
      </c>
      <c r="F13" s="227"/>
    </row>
    <row r="14" spans="1:6" x14ac:dyDescent="0.25">
      <c r="B14" s="10" t="s">
        <v>111</v>
      </c>
      <c r="C14" s="10" t="s">
        <v>28</v>
      </c>
      <c r="D14" s="162">
        <f>2+158.875+5.208333</f>
        <v>166.08333300000001</v>
      </c>
      <c r="E14" s="638">
        <f t="shared" si="0"/>
        <v>5.4226496643360038E-2</v>
      </c>
      <c r="F14" s="227"/>
    </row>
    <row r="15" spans="1:6" x14ac:dyDescent="0.25">
      <c r="B15" s="10" t="s">
        <v>112</v>
      </c>
      <c r="C15" s="10" t="s">
        <v>29</v>
      </c>
      <c r="D15" s="162">
        <v>44.25</v>
      </c>
      <c r="E15" s="638">
        <f t="shared" si="0"/>
        <v>1.444770184416206E-2</v>
      </c>
      <c r="F15" s="227"/>
    </row>
    <row r="16" spans="1:6" x14ac:dyDescent="0.25">
      <c r="B16" s="10" t="s">
        <v>76</v>
      </c>
      <c r="C16" s="10" t="s">
        <v>30</v>
      </c>
      <c r="D16" s="162">
        <v>2</v>
      </c>
      <c r="E16" s="638">
        <f t="shared" si="0"/>
        <v>6.5300347318246606E-4</v>
      </c>
      <c r="F16" s="227"/>
    </row>
    <row r="17" spans="2:6" x14ac:dyDescent="0.25">
      <c r="B17" s="10" t="s">
        <v>113</v>
      </c>
      <c r="C17" s="10" t="s">
        <v>606</v>
      </c>
      <c r="D17" s="162">
        <f>28.16666+270.1042</f>
        <v>298.27085999999997</v>
      </c>
      <c r="E17" s="638">
        <f t="shared" si="0"/>
        <v>9.7385953764560523E-2</v>
      </c>
      <c r="F17" s="227"/>
    </row>
    <row r="18" spans="2:6" x14ac:dyDescent="0.25">
      <c r="B18" s="10" t="s">
        <v>114</v>
      </c>
      <c r="C18" s="10" t="s">
        <v>32</v>
      </c>
      <c r="D18" s="162">
        <f>362.1042</f>
        <v>362.10419999999999</v>
      </c>
      <c r="E18" s="638">
        <f t="shared" si="0"/>
        <v>0.11822765012697915</v>
      </c>
      <c r="F18" s="227"/>
    </row>
    <row r="19" spans="2:6" x14ac:dyDescent="0.25">
      <c r="B19" s="10" t="s">
        <v>115</v>
      </c>
      <c r="C19" s="10" t="s">
        <v>33</v>
      </c>
      <c r="D19" s="162">
        <f>0</f>
        <v>0</v>
      </c>
      <c r="E19" s="638">
        <f t="shared" si="0"/>
        <v>0</v>
      </c>
      <c r="F19" s="227"/>
    </row>
    <row r="20" spans="2:6" x14ac:dyDescent="0.25">
      <c r="B20" s="10" t="s">
        <v>116</v>
      </c>
      <c r="C20" s="10" t="s">
        <v>608</v>
      </c>
      <c r="D20" s="162">
        <f xml:space="preserve"> 98.64583+30.5625+251.6875+293.75</f>
        <v>674.64582999999993</v>
      </c>
      <c r="E20" s="638">
        <f t="shared" si="0"/>
        <v>0.22027303507903373</v>
      </c>
      <c r="F20" s="227"/>
    </row>
    <row r="21" spans="2:6" x14ac:dyDescent="0.25">
      <c r="B21" s="10" t="s">
        <v>117</v>
      </c>
      <c r="C21" s="10" t="s">
        <v>35</v>
      </c>
      <c r="D21" s="162">
        <v>9.4583329999999997</v>
      </c>
      <c r="E21" s="638">
        <f t="shared" si="0"/>
        <v>3.0881621497581666E-3</v>
      </c>
      <c r="F21" s="227"/>
    </row>
    <row r="22" spans="2:6" x14ac:dyDescent="0.25">
      <c r="B22" s="10" t="s">
        <v>118</v>
      </c>
      <c r="C22" s="10" t="s">
        <v>36</v>
      </c>
      <c r="D22" s="162">
        <v>0</v>
      </c>
      <c r="E22" s="638">
        <f t="shared" si="0"/>
        <v>0</v>
      </c>
      <c r="F22" s="227"/>
    </row>
    <row r="23" spans="2:6" x14ac:dyDescent="0.25">
      <c r="B23" s="10" t="s">
        <v>119</v>
      </c>
      <c r="C23" s="10" t="s">
        <v>37</v>
      </c>
      <c r="D23" s="162">
        <v>46.5</v>
      </c>
      <c r="E23" s="638">
        <f t="shared" si="0"/>
        <v>1.5182330751492334E-2</v>
      </c>
      <c r="F23" s="227"/>
    </row>
    <row r="24" spans="2:6" x14ac:dyDescent="0.25">
      <c r="B24" s="10" t="s">
        <v>120</v>
      </c>
      <c r="C24" s="10" t="s">
        <v>38</v>
      </c>
      <c r="D24" s="162">
        <v>19.29166</v>
      </c>
      <c r="E24" s="638">
        <f t="shared" si="0"/>
        <v>6.2987604917276261E-3</v>
      </c>
      <c r="F24" s="227"/>
    </row>
    <row r="25" spans="2:6" x14ac:dyDescent="0.25">
      <c r="B25" s="10" t="s">
        <v>121</v>
      </c>
      <c r="C25" s="10" t="s">
        <v>39</v>
      </c>
      <c r="D25" s="162">
        <v>0</v>
      </c>
      <c r="E25" s="638">
        <f t="shared" si="0"/>
        <v>0</v>
      </c>
      <c r="F25" s="227"/>
    </row>
    <row r="26" spans="2:6" x14ac:dyDescent="0.25">
      <c r="B26" s="11" t="s">
        <v>122</v>
      </c>
      <c r="C26" s="11" t="s">
        <v>40</v>
      </c>
      <c r="D26" s="163">
        <v>13.375</v>
      </c>
      <c r="E26" s="638">
        <f t="shared" si="0"/>
        <v>4.3669607269077419E-3</v>
      </c>
      <c r="F26" s="227"/>
    </row>
    <row r="27" spans="2:6" x14ac:dyDescent="0.25">
      <c r="B27" s="11"/>
      <c r="C27" s="11" t="s">
        <v>8</v>
      </c>
      <c r="D27" s="164">
        <f>SUM(D8:D26)</f>
        <v>3062.7708460000003</v>
      </c>
      <c r="E27" s="177">
        <f>D27/D27</f>
        <v>1</v>
      </c>
    </row>
    <row r="28" spans="2:6" x14ac:dyDescent="0.25">
      <c r="B28" s="170"/>
      <c r="C28" s="78" t="s">
        <v>678</v>
      </c>
      <c r="D28" s="170"/>
      <c r="E28" s="170"/>
    </row>
    <row r="29" spans="2:6" x14ac:dyDescent="0.25">
      <c r="B29" s="170"/>
      <c r="C29" s="78" t="s">
        <v>604</v>
      </c>
      <c r="D29" s="170"/>
      <c r="E29" s="170"/>
    </row>
    <row r="30" spans="2:6" x14ac:dyDescent="0.25">
      <c r="B30" s="24"/>
      <c r="C30" s="78" t="s">
        <v>607</v>
      </c>
      <c r="D30" s="24"/>
      <c r="E30" s="24"/>
    </row>
    <row r="31" spans="2:6" s="64" customFormat="1" x14ac:dyDescent="0.25">
      <c r="B31" s="24"/>
      <c r="C31" s="231" t="s">
        <v>609</v>
      </c>
      <c r="D31" s="24"/>
      <c r="E31" s="24"/>
    </row>
    <row r="32" spans="2:6" s="204" customFormat="1" x14ac:dyDescent="0.25">
      <c r="B32" s="148"/>
      <c r="C32" s="231"/>
      <c r="D32" s="148"/>
      <c r="E32" s="148"/>
    </row>
    <row r="33" spans="2:5" x14ac:dyDescent="0.25">
      <c r="B33" s="644" t="s">
        <v>649</v>
      </c>
      <c r="C33" s="644"/>
      <c r="D33" s="644"/>
      <c r="E33" s="644"/>
    </row>
    <row r="34" spans="2:5" ht="15.75" thickBot="1" x14ac:dyDescent="0.3">
      <c r="B34" s="7"/>
      <c r="C34" s="7"/>
      <c r="D34" s="12" t="s">
        <v>104</v>
      </c>
      <c r="E34" s="12" t="s">
        <v>9</v>
      </c>
    </row>
    <row r="35" spans="2:5" ht="15.75" thickTop="1" x14ac:dyDescent="0.25">
      <c r="B35" s="9" t="s">
        <v>105</v>
      </c>
      <c r="C35" s="9" t="s">
        <v>22</v>
      </c>
      <c r="D35" s="167">
        <f>53.81916+68.72304</f>
        <v>122.54219999999999</v>
      </c>
      <c r="E35" s="638">
        <f>D35/D54</f>
        <v>5.4113482910433178E-2</v>
      </c>
    </row>
    <row r="36" spans="2:5" x14ac:dyDescent="0.25">
      <c r="B36" s="10" t="s">
        <v>106</v>
      </c>
      <c r="C36" s="10" t="s">
        <v>23</v>
      </c>
      <c r="D36" s="167">
        <f>150.9958</f>
        <v>150.9958</v>
      </c>
      <c r="E36" s="638">
        <f>D36/$D$54</f>
        <v>6.6678325041064926E-2</v>
      </c>
    </row>
    <row r="37" spans="2:5" x14ac:dyDescent="0.25">
      <c r="B37" s="10" t="s">
        <v>107</v>
      </c>
      <c r="C37" s="10" t="s">
        <v>24</v>
      </c>
      <c r="D37" s="167">
        <f>310.9367+154.3342+270.7933</f>
        <v>736.06420000000003</v>
      </c>
      <c r="E37" s="638">
        <f t="shared" ref="E37:E53" si="1">D37/$D$54</f>
        <v>0.3250390274344811</v>
      </c>
    </row>
    <row r="38" spans="2:5" x14ac:dyDescent="0.25">
      <c r="B38" s="10" t="s">
        <v>108</v>
      </c>
      <c r="C38" s="10" t="s">
        <v>25</v>
      </c>
      <c r="D38" s="167">
        <v>23.946670000000001</v>
      </c>
      <c r="E38" s="638">
        <f t="shared" si="1"/>
        <v>1.0574624233992722E-2</v>
      </c>
    </row>
    <row r="39" spans="2:5" x14ac:dyDescent="0.25">
      <c r="B39" s="10" t="s">
        <v>109</v>
      </c>
      <c r="C39" s="10" t="s">
        <v>26</v>
      </c>
      <c r="D39" s="167">
        <v>11.289580000000001</v>
      </c>
      <c r="E39" s="638">
        <f t="shared" si="1"/>
        <v>4.9853723402710926E-3</v>
      </c>
    </row>
    <row r="40" spans="2:5" x14ac:dyDescent="0.25">
      <c r="B40" s="10" t="s">
        <v>110</v>
      </c>
      <c r="C40" s="10" t="s">
        <v>27</v>
      </c>
      <c r="D40" s="167">
        <v>17.691669999999998</v>
      </c>
      <c r="E40" s="638">
        <f t="shared" si="1"/>
        <v>7.8124750673810592E-3</v>
      </c>
    </row>
    <row r="41" spans="2:5" x14ac:dyDescent="0.25">
      <c r="B41" s="10" t="s">
        <v>111</v>
      </c>
      <c r="C41" s="10" t="s">
        <v>28</v>
      </c>
      <c r="D41" s="167">
        <f>1.4+102.8999+3.191666</f>
        <v>107.49156600000001</v>
      </c>
      <c r="E41" s="638">
        <f t="shared" si="1"/>
        <v>4.746726449954955E-2</v>
      </c>
    </row>
    <row r="42" spans="2:5" x14ac:dyDescent="0.25">
      <c r="B42" s="10" t="s">
        <v>112</v>
      </c>
      <c r="C42" s="10" t="s">
        <v>29</v>
      </c>
      <c r="D42" s="167">
        <v>28.344159999999999</v>
      </c>
      <c r="E42" s="638">
        <f t="shared" si="1"/>
        <v>1.2516514456004411E-2</v>
      </c>
    </row>
    <row r="43" spans="2:5" x14ac:dyDescent="0.25">
      <c r="B43" s="10" t="s">
        <v>76</v>
      </c>
      <c r="C43" s="10" t="s">
        <v>30</v>
      </c>
      <c r="D43" s="167">
        <v>2</v>
      </c>
      <c r="E43" s="638">
        <f t="shared" si="1"/>
        <v>8.8318118836503963E-4</v>
      </c>
    </row>
    <row r="44" spans="2:5" x14ac:dyDescent="0.25">
      <c r="B44" s="10" t="s">
        <v>113</v>
      </c>
      <c r="C44" s="10" t="s">
        <v>606</v>
      </c>
      <c r="D44" s="167">
        <f>24.27741+221.9128</f>
        <v>246.19021000000001</v>
      </c>
      <c r="E44" s="638">
        <f t="shared" si="1"/>
        <v>0.10871528111581934</v>
      </c>
    </row>
    <row r="45" spans="2:5" x14ac:dyDescent="0.25">
      <c r="B45" s="10" t="s">
        <v>114</v>
      </c>
      <c r="C45" s="10" t="s">
        <v>32</v>
      </c>
      <c r="D45" s="167">
        <f>201.6271</f>
        <v>201.62710000000001</v>
      </c>
      <c r="E45" s="638">
        <f t="shared" si="1"/>
        <v>8.9036630892298352E-2</v>
      </c>
    </row>
    <row r="46" spans="2:5" x14ac:dyDescent="0.25">
      <c r="B46" s="10" t="s">
        <v>115</v>
      </c>
      <c r="C46" s="10" t="s">
        <v>33</v>
      </c>
      <c r="D46" s="167">
        <v>0</v>
      </c>
      <c r="E46" s="638">
        <f t="shared" si="1"/>
        <v>0</v>
      </c>
    </row>
    <row r="47" spans="2:5" x14ac:dyDescent="0.25">
      <c r="B47" s="10" t="s">
        <v>116</v>
      </c>
      <c r="C47" s="10" t="s">
        <v>608</v>
      </c>
      <c r="D47" s="167">
        <f>85.93792+24.16083+193.5081+263.3094</f>
        <v>566.91624999999999</v>
      </c>
      <c r="E47" s="638">
        <f t="shared" si="1"/>
        <v>0.25034488368922592</v>
      </c>
    </row>
    <row r="48" spans="2:5" x14ac:dyDescent="0.25">
      <c r="B48" s="10" t="s">
        <v>117</v>
      </c>
      <c r="C48" s="10" t="s">
        <v>35</v>
      </c>
      <c r="D48" s="167">
        <v>4.2540829999999996</v>
      </c>
      <c r="E48" s="638">
        <f t="shared" si="1"/>
        <v>1.8785630396717563E-3</v>
      </c>
    </row>
    <row r="49" spans="2:5" x14ac:dyDescent="0.25">
      <c r="B49" s="10" t="s">
        <v>118</v>
      </c>
      <c r="C49" s="10" t="s">
        <v>36</v>
      </c>
      <c r="D49" s="167">
        <v>0</v>
      </c>
      <c r="E49" s="638">
        <f t="shared" si="1"/>
        <v>0</v>
      </c>
    </row>
    <row r="50" spans="2:5" x14ac:dyDescent="0.25">
      <c r="B50" s="10" t="s">
        <v>119</v>
      </c>
      <c r="C50" s="10" t="s">
        <v>37</v>
      </c>
      <c r="D50" s="167">
        <v>23.662500000000001</v>
      </c>
      <c r="E50" s="638">
        <f t="shared" si="1"/>
        <v>1.0449137434843875E-2</v>
      </c>
    </row>
    <row r="51" spans="2:5" x14ac:dyDescent="0.25">
      <c r="B51" s="10" t="s">
        <v>120</v>
      </c>
      <c r="C51" s="10" t="s">
        <v>38</v>
      </c>
      <c r="D51" s="167">
        <v>9.2874979999999994</v>
      </c>
      <c r="E51" s="638">
        <f t="shared" si="1"/>
        <v>4.1012717602889638E-3</v>
      </c>
    </row>
    <row r="52" spans="2:5" x14ac:dyDescent="0.25">
      <c r="B52" s="10" t="s">
        <v>121</v>
      </c>
      <c r="C52" s="10" t="s">
        <v>39</v>
      </c>
      <c r="D52" s="167">
        <v>0</v>
      </c>
      <c r="E52" s="638">
        <f t="shared" si="1"/>
        <v>0</v>
      </c>
    </row>
    <row r="53" spans="2:5" x14ac:dyDescent="0.25">
      <c r="B53" s="11" t="s">
        <v>122</v>
      </c>
      <c r="C53" s="11" t="s">
        <v>40</v>
      </c>
      <c r="D53" s="167">
        <v>12.237500000000001</v>
      </c>
      <c r="E53" s="638">
        <f t="shared" si="1"/>
        <v>5.4039648963085862E-3</v>
      </c>
    </row>
    <row r="54" spans="2:5" x14ac:dyDescent="0.25">
      <c r="B54" s="11"/>
      <c r="C54" s="11" t="s">
        <v>8</v>
      </c>
      <c r="D54" s="168">
        <f>SUM(D35:D53)</f>
        <v>2264.5409870000003</v>
      </c>
      <c r="E54" s="177">
        <f>D54/D54</f>
        <v>1</v>
      </c>
    </row>
    <row r="55" spans="2:5" x14ac:dyDescent="0.25">
      <c r="B55" s="170"/>
      <c r="C55" s="78" t="s">
        <v>678</v>
      </c>
      <c r="D55" s="170"/>
      <c r="E55" s="170"/>
    </row>
    <row r="56" spans="2:5" x14ac:dyDescent="0.25">
      <c r="B56" s="170"/>
      <c r="C56" s="78" t="s">
        <v>604</v>
      </c>
      <c r="D56" s="170"/>
      <c r="E56" s="170"/>
    </row>
    <row r="57" spans="2:5" x14ac:dyDescent="0.25">
      <c r="B57" s="170"/>
      <c r="C57" s="78" t="s">
        <v>607</v>
      </c>
      <c r="D57" s="170"/>
      <c r="E57" s="170"/>
    </row>
    <row r="58" spans="2:5" x14ac:dyDescent="0.25">
      <c r="B58" s="170"/>
      <c r="C58" s="231" t="s">
        <v>609</v>
      </c>
      <c r="D58" s="170"/>
      <c r="E58" s="170"/>
    </row>
  </sheetData>
  <sheetProtection password="C69F" sheet="1" objects="1" scenarios="1"/>
  <mergeCells count="2">
    <mergeCell ref="B6:E6"/>
    <mergeCell ref="B33:E33"/>
  </mergeCells>
  <hyperlinks>
    <hyperlink ref="A1" location="ÍNDICE!A1" display="ÍNDIC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sheetPr>
  <dimension ref="A1:E41"/>
  <sheetViews>
    <sheetView zoomScale="90" zoomScaleNormal="90" workbookViewId="0"/>
  </sheetViews>
  <sheetFormatPr baseColWidth="10" defaultRowHeight="15" x14ac:dyDescent="0.25"/>
  <cols>
    <col min="2" max="2" width="22" customWidth="1"/>
    <col min="3" max="3" width="14.85546875" customWidth="1"/>
  </cols>
  <sheetData>
    <row r="1" spans="1:3" x14ac:dyDescent="0.25">
      <c r="A1" s="59" t="s">
        <v>132</v>
      </c>
    </row>
    <row r="2" spans="1:3" s="64" customFormat="1" x14ac:dyDescent="0.25">
      <c r="A2" s="1" t="s">
        <v>259</v>
      </c>
    </row>
    <row r="3" spans="1:3" s="64" customFormat="1" x14ac:dyDescent="0.25"/>
    <row r="4" spans="1:3" s="64" customFormat="1" x14ac:dyDescent="0.25"/>
    <row r="5" spans="1:3" ht="23.25" customHeight="1" x14ac:dyDescent="0.25">
      <c r="B5" s="646" t="s">
        <v>469</v>
      </c>
      <c r="C5" s="646"/>
    </row>
    <row r="6" spans="1:3" x14ac:dyDescent="0.25">
      <c r="B6" s="647"/>
      <c r="C6" s="647"/>
    </row>
    <row r="7" spans="1:3" ht="15.75" thickBot="1" x14ac:dyDescent="0.3">
      <c r="B7" s="7"/>
      <c r="C7" s="160">
        <v>2013</v>
      </c>
    </row>
    <row r="8" spans="1:3" ht="15.75" thickTop="1" x14ac:dyDescent="0.25">
      <c r="B8" s="155" t="s">
        <v>595</v>
      </c>
      <c r="C8" s="579">
        <v>0.38</v>
      </c>
    </row>
    <row r="9" spans="1:3" x14ac:dyDescent="0.25">
      <c r="B9" s="24" t="s">
        <v>466</v>
      </c>
      <c r="C9" s="158">
        <v>0.54</v>
      </c>
    </row>
    <row r="10" spans="1:3" x14ac:dyDescent="0.25">
      <c r="B10" s="24" t="s">
        <v>187</v>
      </c>
      <c r="C10" s="158">
        <v>0.57999999999999996</v>
      </c>
    </row>
    <row r="11" spans="1:3" x14ac:dyDescent="0.25">
      <c r="B11" s="24" t="s">
        <v>467</v>
      </c>
      <c r="C11" s="158">
        <v>0.73</v>
      </c>
    </row>
    <row r="12" spans="1:3" x14ac:dyDescent="0.25">
      <c r="B12" s="24" t="s">
        <v>192</v>
      </c>
      <c r="C12" s="158">
        <v>0.8</v>
      </c>
    </row>
    <row r="13" spans="1:3" x14ac:dyDescent="0.25">
      <c r="B13" s="24" t="s">
        <v>188</v>
      </c>
      <c r="C13" s="158">
        <v>0.94</v>
      </c>
    </row>
    <row r="14" spans="1:3" x14ac:dyDescent="0.25">
      <c r="B14" s="24" t="s">
        <v>209</v>
      </c>
      <c r="C14" s="158">
        <v>1.1200000000000001</v>
      </c>
    </row>
    <row r="15" spans="1:3" x14ac:dyDescent="0.25">
      <c r="B15" s="24" t="s">
        <v>465</v>
      </c>
      <c r="C15" s="158">
        <v>1.17</v>
      </c>
    </row>
    <row r="16" spans="1:3" x14ac:dyDescent="0.25">
      <c r="B16" s="24" t="s">
        <v>196</v>
      </c>
      <c r="C16" s="578">
        <v>1.24</v>
      </c>
    </row>
    <row r="17" spans="2:3" x14ac:dyDescent="0.25">
      <c r="B17" s="24" t="s">
        <v>193</v>
      </c>
      <c r="C17" s="158">
        <v>1.26</v>
      </c>
    </row>
    <row r="18" spans="2:3" x14ac:dyDescent="0.25">
      <c r="B18" s="24" t="s">
        <v>198</v>
      </c>
      <c r="C18" s="578">
        <v>1.37</v>
      </c>
    </row>
    <row r="19" spans="2:3" x14ac:dyDescent="0.25">
      <c r="B19" s="24" t="s">
        <v>468</v>
      </c>
      <c r="C19" s="158">
        <v>1.58</v>
      </c>
    </row>
    <row r="20" spans="2:3" x14ac:dyDescent="0.25">
      <c r="B20" s="24" t="s">
        <v>210</v>
      </c>
      <c r="C20" s="158">
        <v>1.62</v>
      </c>
    </row>
    <row r="21" spans="2:3" x14ac:dyDescent="0.25">
      <c r="B21" s="24" t="s">
        <v>195</v>
      </c>
      <c r="C21" s="158">
        <v>1.63</v>
      </c>
    </row>
    <row r="22" spans="2:3" x14ac:dyDescent="0.25">
      <c r="B22" s="24" t="s">
        <v>200</v>
      </c>
      <c r="C22" s="158">
        <v>1.65</v>
      </c>
    </row>
    <row r="23" spans="2:3" x14ac:dyDescent="0.25">
      <c r="B23" s="24" t="s">
        <v>470</v>
      </c>
      <c r="C23" s="158">
        <v>2</v>
      </c>
    </row>
    <row r="24" spans="2:3" x14ac:dyDescent="0.25">
      <c r="B24" s="24" t="s">
        <v>211</v>
      </c>
      <c r="C24" s="158">
        <v>2.08</v>
      </c>
    </row>
    <row r="25" spans="2:3" x14ac:dyDescent="0.25">
      <c r="B25" s="24" t="s">
        <v>212</v>
      </c>
      <c r="C25" s="158">
        <v>2.23</v>
      </c>
    </row>
    <row r="26" spans="2:3" x14ac:dyDescent="0.25">
      <c r="B26" s="24" t="s">
        <v>202</v>
      </c>
      <c r="C26" s="158">
        <v>2.2799999999999998</v>
      </c>
    </row>
    <row r="27" spans="2:3" x14ac:dyDescent="0.25">
      <c r="B27" s="157" t="s">
        <v>213</v>
      </c>
      <c r="C27" s="232">
        <v>2.36</v>
      </c>
    </row>
    <row r="28" spans="2:3" x14ac:dyDescent="0.25">
      <c r="B28" s="24" t="s">
        <v>214</v>
      </c>
      <c r="C28" s="158">
        <v>2.73</v>
      </c>
    </row>
    <row r="29" spans="2:3" x14ac:dyDescent="0.25">
      <c r="B29" s="24" t="s">
        <v>201</v>
      </c>
      <c r="C29" s="158">
        <v>2.85</v>
      </c>
    </row>
    <row r="30" spans="2:3" x14ac:dyDescent="0.25">
      <c r="B30" s="24" t="s">
        <v>471</v>
      </c>
      <c r="C30" s="158">
        <v>2.99</v>
      </c>
    </row>
    <row r="31" spans="2:3" x14ac:dyDescent="0.25">
      <c r="B31" s="24" t="s">
        <v>207</v>
      </c>
      <c r="C31" s="158">
        <v>3.06</v>
      </c>
    </row>
    <row r="32" spans="2:3" x14ac:dyDescent="0.25">
      <c r="B32" s="24" t="s">
        <v>206</v>
      </c>
      <c r="C32" s="158">
        <v>3.3</v>
      </c>
    </row>
    <row r="33" spans="2:5" x14ac:dyDescent="0.25">
      <c r="B33" s="24" t="s">
        <v>208</v>
      </c>
      <c r="C33" s="158">
        <v>3.31</v>
      </c>
    </row>
    <row r="34" spans="2:5" x14ac:dyDescent="0.25">
      <c r="B34" s="24" t="s">
        <v>199</v>
      </c>
      <c r="C34" s="158">
        <v>3.47</v>
      </c>
    </row>
    <row r="35" spans="2:5" x14ac:dyDescent="0.25">
      <c r="B35" s="24" t="s">
        <v>472</v>
      </c>
      <c r="C35" s="158">
        <v>4.1500000000000004</v>
      </c>
    </row>
    <row r="36" spans="2:5" x14ac:dyDescent="0.25">
      <c r="B36" s="67" t="s">
        <v>215</v>
      </c>
      <c r="C36" s="509">
        <v>4.21</v>
      </c>
    </row>
    <row r="38" spans="2:5" x14ac:dyDescent="0.25">
      <c r="E38" s="234" t="s">
        <v>473</v>
      </c>
    </row>
    <row r="41" spans="2:5" x14ac:dyDescent="0.25">
      <c r="B41" s="577"/>
    </row>
  </sheetData>
  <sheetProtection password="C69F" sheet="1" objects="1" scenarios="1"/>
  <sortState ref="B9:C37">
    <sortCondition ref="C36"/>
  </sortState>
  <mergeCells count="1">
    <mergeCell ref="B5:C6"/>
  </mergeCells>
  <hyperlinks>
    <hyperlink ref="A1" location="ÍNDICE!A1" display="ÍNDICE"/>
  </hyperlinks>
  <pageMargins left="0.7" right="0.7" top="0.75" bottom="0.75" header="0.3" footer="0.3"/>
  <pageSetup orientation="portrait" horizontalDpi="4294967293"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13"/>
  <sheetViews>
    <sheetView zoomScale="90" zoomScaleNormal="90" workbookViewId="0"/>
  </sheetViews>
  <sheetFormatPr baseColWidth="10" defaultRowHeight="15" x14ac:dyDescent="0.25"/>
  <cols>
    <col min="2" max="2" width="13.42578125" customWidth="1"/>
    <col min="3" max="3" width="17.42578125" bestFit="1" customWidth="1"/>
    <col min="4" max="4" width="21.42578125" bestFit="1" customWidth="1"/>
    <col min="5" max="5" width="25.7109375" bestFit="1" customWidth="1"/>
    <col min="6" max="6" width="16.7109375" bestFit="1" customWidth="1"/>
    <col min="7" max="7" width="15.85546875" bestFit="1" customWidth="1"/>
    <col min="8" max="8" width="13.140625" bestFit="1" customWidth="1"/>
  </cols>
  <sheetData>
    <row r="1" spans="1:9" s="54" customFormat="1" x14ac:dyDescent="0.25">
      <c r="A1" s="59" t="s">
        <v>132</v>
      </c>
    </row>
    <row r="2" spans="1:9" x14ac:dyDescent="0.25">
      <c r="A2" s="1" t="s">
        <v>583</v>
      </c>
    </row>
    <row r="3" spans="1:9" x14ac:dyDescent="0.25">
      <c r="A3" s="1"/>
    </row>
    <row r="4" spans="1:9" x14ac:dyDescent="0.25">
      <c r="A4" s="58" t="s">
        <v>103</v>
      </c>
      <c r="B4" t="s">
        <v>584</v>
      </c>
    </row>
    <row r="5" spans="1:9" s="40" customFormat="1" x14ac:dyDescent="0.25"/>
    <row r="6" spans="1:9" x14ac:dyDescent="0.25">
      <c r="B6" s="644" t="s">
        <v>651</v>
      </c>
      <c r="C6" s="644"/>
      <c r="D6" s="644"/>
      <c r="E6" s="644"/>
      <c r="F6" s="644"/>
      <c r="G6" s="644"/>
      <c r="H6" s="644"/>
      <c r="I6" s="644"/>
    </row>
    <row r="7" spans="1:9" ht="15.75" thickBot="1" x14ac:dyDescent="0.3">
      <c r="B7" s="2"/>
      <c r="C7" s="4" t="s">
        <v>45</v>
      </c>
      <c r="D7" s="4" t="s">
        <v>46</v>
      </c>
      <c r="E7" s="4" t="s">
        <v>47</v>
      </c>
      <c r="F7" s="4" t="s">
        <v>48</v>
      </c>
      <c r="G7" s="4" t="s">
        <v>49</v>
      </c>
      <c r="H7" s="4" t="s">
        <v>50</v>
      </c>
      <c r="I7" s="4" t="s">
        <v>8</v>
      </c>
    </row>
    <row r="8" spans="1:9" ht="15.75" thickTop="1" x14ac:dyDescent="0.25">
      <c r="B8" s="10" t="s">
        <v>5</v>
      </c>
      <c r="C8" s="162">
        <f>130.841651</f>
        <v>130.84165100000001</v>
      </c>
      <c r="D8" s="162">
        <v>108.595253</v>
      </c>
      <c r="E8" s="162">
        <v>18.347287999999999</v>
      </c>
      <c r="F8" s="162">
        <v>313.56249400000002</v>
      </c>
      <c r="G8" s="162">
        <v>189.44297299999999</v>
      </c>
      <c r="H8" s="162">
        <v>8.1083320000000008</v>
      </c>
      <c r="I8" s="13">
        <f>SUM(C8:H8)</f>
        <v>768.89799100000005</v>
      </c>
    </row>
    <row r="9" spans="1:9" x14ac:dyDescent="0.25">
      <c r="B9" s="10" t="s">
        <v>51</v>
      </c>
      <c r="C9" s="162">
        <v>1249.6581630000001</v>
      </c>
      <c r="D9" s="162">
        <v>771.32085500000005</v>
      </c>
      <c r="E9" s="162">
        <v>510.96632499999998</v>
      </c>
      <c r="F9" s="162">
        <v>196.250924</v>
      </c>
      <c r="G9" s="162">
        <v>636.75041599999997</v>
      </c>
      <c r="H9" s="162">
        <v>235.45593600000001</v>
      </c>
      <c r="I9" s="162">
        <f t="shared" ref="I9:I11" si="0">SUM(C9:H9)</f>
        <v>3600.4026189999995</v>
      </c>
    </row>
    <row r="10" spans="1:9" x14ac:dyDescent="0.25">
      <c r="B10" s="10" t="s">
        <v>6</v>
      </c>
      <c r="C10" s="162">
        <v>636.99164699999994</v>
      </c>
      <c r="D10" s="162">
        <v>162.32080300000001</v>
      </c>
      <c r="E10" s="162">
        <v>25.135414999999998</v>
      </c>
      <c r="F10" s="162">
        <v>43.108317</v>
      </c>
      <c r="G10" s="162">
        <v>43.235076999999997</v>
      </c>
      <c r="H10" s="162">
        <v>4.4874989999999997</v>
      </c>
      <c r="I10" s="162">
        <f t="shared" si="0"/>
        <v>915.27875799999981</v>
      </c>
    </row>
    <row r="11" spans="1:9" x14ac:dyDescent="0.25">
      <c r="B11" s="11" t="s">
        <v>7</v>
      </c>
      <c r="C11" s="163">
        <v>138.29394400000001</v>
      </c>
      <c r="D11" s="163">
        <v>1606.4200049999999</v>
      </c>
      <c r="E11" s="163">
        <v>242.11623299999999</v>
      </c>
      <c r="F11" s="163">
        <v>228.093301</v>
      </c>
      <c r="G11" s="163">
        <v>32.094164999999997</v>
      </c>
      <c r="H11" s="163">
        <v>17.523332</v>
      </c>
      <c r="I11" s="162">
        <f t="shared" si="0"/>
        <v>2264.5409800000002</v>
      </c>
    </row>
    <row r="12" spans="1:9" x14ac:dyDescent="0.25">
      <c r="B12" s="3" t="s">
        <v>8</v>
      </c>
      <c r="C12" s="164">
        <f>SUM(C8:C11)</f>
        <v>2155.7854050000001</v>
      </c>
      <c r="D12" s="164">
        <f t="shared" ref="D12:I12" si="1">SUM(D8:D11)</f>
        <v>2648.6569159999999</v>
      </c>
      <c r="E12" s="164">
        <f t="shared" si="1"/>
        <v>796.56526099999996</v>
      </c>
      <c r="F12" s="164">
        <f t="shared" si="1"/>
        <v>781.01503600000001</v>
      </c>
      <c r="G12" s="164">
        <f t="shared" si="1"/>
        <v>901.52263100000005</v>
      </c>
      <c r="H12" s="164">
        <f t="shared" si="1"/>
        <v>265.57509899999997</v>
      </c>
      <c r="I12" s="565">
        <f t="shared" si="1"/>
        <v>7549.1203479999986</v>
      </c>
    </row>
    <row r="13" spans="1:9" x14ac:dyDescent="0.25">
      <c r="B13" s="202" t="s">
        <v>650</v>
      </c>
      <c r="C13" s="204"/>
      <c r="D13" s="204"/>
      <c r="E13" s="204"/>
    </row>
  </sheetData>
  <sheetProtection password="C69F" sheet="1" objects="1" scenarios="1"/>
  <mergeCells count="1">
    <mergeCell ref="B6:I6"/>
  </mergeCells>
  <hyperlinks>
    <hyperlink ref="A1" location="ÍNDICE!A1" display="ÍNDICE"/>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S42"/>
  <sheetViews>
    <sheetView zoomScale="90" zoomScaleNormal="90" workbookViewId="0"/>
  </sheetViews>
  <sheetFormatPr baseColWidth="10" defaultRowHeight="15" x14ac:dyDescent="0.25"/>
  <cols>
    <col min="2" max="2" width="21.5703125" customWidth="1"/>
    <col min="3" max="3" width="14.5703125" customWidth="1"/>
    <col min="4" max="4" width="27.85546875" bestFit="1" customWidth="1"/>
    <col min="5" max="5" width="22.28515625" bestFit="1" customWidth="1"/>
    <col min="8" max="8" width="13.42578125" bestFit="1" customWidth="1"/>
    <col min="9" max="9" width="14.5703125" customWidth="1"/>
    <col min="10" max="10" width="27.85546875" bestFit="1" customWidth="1"/>
    <col min="11" max="11" width="22.28515625" bestFit="1" customWidth="1"/>
    <col min="16" max="16" width="14.42578125" bestFit="1" customWidth="1"/>
    <col min="17" max="17" width="27.42578125" bestFit="1" customWidth="1"/>
    <col min="18" max="18" width="22.7109375" bestFit="1" customWidth="1"/>
  </cols>
  <sheetData>
    <row r="1" spans="1:19" s="54" customFormat="1" x14ac:dyDescent="0.25">
      <c r="A1" s="59" t="s">
        <v>132</v>
      </c>
    </row>
    <row r="2" spans="1:19" x14ac:dyDescent="0.25">
      <c r="A2" s="1" t="s">
        <v>423</v>
      </c>
    </row>
    <row r="3" spans="1:19" x14ac:dyDescent="0.25">
      <c r="A3" s="1"/>
    </row>
    <row r="4" spans="1:19" s="41" customFormat="1" x14ac:dyDescent="0.25">
      <c r="A4" s="58" t="s">
        <v>103</v>
      </c>
      <c r="B4" s="41" t="s">
        <v>585</v>
      </c>
      <c r="O4"/>
      <c r="P4"/>
      <c r="Q4"/>
      <c r="R4"/>
      <c r="S4"/>
    </row>
    <row r="6" spans="1:19" x14ac:dyDescent="0.25">
      <c r="B6" s="644" t="s">
        <v>654</v>
      </c>
      <c r="C6" s="644"/>
      <c r="D6" s="644"/>
      <c r="E6" s="644"/>
      <c r="F6" s="644"/>
      <c r="H6" s="644" t="s">
        <v>652</v>
      </c>
      <c r="I6" s="644"/>
      <c r="J6" s="644"/>
      <c r="K6" s="644"/>
      <c r="L6" s="644"/>
    </row>
    <row r="7" spans="1:19" ht="15.75" thickBot="1" x14ac:dyDescent="0.3">
      <c r="B7" s="7"/>
      <c r="C7" s="12" t="s">
        <v>123</v>
      </c>
      <c r="D7" s="160" t="s">
        <v>181</v>
      </c>
      <c r="E7" s="12" t="s">
        <v>125</v>
      </c>
      <c r="F7" s="12" t="s">
        <v>8</v>
      </c>
      <c r="H7" s="7"/>
      <c r="I7" s="12" t="s">
        <v>123</v>
      </c>
      <c r="J7" s="12" t="s">
        <v>124</v>
      </c>
      <c r="K7" s="12" t="s">
        <v>125</v>
      </c>
      <c r="L7" s="12" t="s">
        <v>8</v>
      </c>
    </row>
    <row r="8" spans="1:19" ht="15.75" thickTop="1" x14ac:dyDescent="0.25">
      <c r="B8" s="18" t="s">
        <v>5</v>
      </c>
      <c r="C8" s="167">
        <v>399.9375</v>
      </c>
      <c r="D8" s="167">
        <v>195.125</v>
      </c>
      <c r="E8" s="167">
        <v>174.499989</v>
      </c>
      <c r="F8" s="19">
        <f>SUM(C8:E8)</f>
        <v>769.56248900000003</v>
      </c>
      <c r="H8" s="18" t="s">
        <v>5</v>
      </c>
      <c r="I8" s="167">
        <v>1060.0619999999999</v>
      </c>
      <c r="J8" s="167">
        <v>438.8125</v>
      </c>
      <c r="K8" s="167">
        <v>379.20830000000001</v>
      </c>
      <c r="L8" s="19">
        <f>SUM(I8:K8)</f>
        <v>1878.0827999999999</v>
      </c>
    </row>
    <row r="9" spans="1:19" x14ac:dyDescent="0.25">
      <c r="B9" s="18" t="s">
        <v>51</v>
      </c>
      <c r="C9" s="167">
        <v>2326.6660000000002</v>
      </c>
      <c r="D9" s="167">
        <v>2045.4159999999999</v>
      </c>
      <c r="E9" s="167">
        <v>727.47910899999999</v>
      </c>
      <c r="F9" s="50">
        <f t="shared" ref="F9:F12" si="0">SUM(C9:E9)</f>
        <v>5099.5611090000002</v>
      </c>
      <c r="H9" s="18" t="s">
        <v>51</v>
      </c>
      <c r="I9" s="167">
        <v>7143.1869999999999</v>
      </c>
      <c r="J9" s="167">
        <v>4228.3119999999999</v>
      </c>
      <c r="K9" s="167">
        <v>1402.0619999999999</v>
      </c>
      <c r="L9" s="50">
        <f t="shared" ref="L9:L11" si="1">SUM(I9:K9)</f>
        <v>12773.561</v>
      </c>
    </row>
    <row r="10" spans="1:19" x14ac:dyDescent="0.25">
      <c r="B10" s="18" t="s">
        <v>6</v>
      </c>
      <c r="C10" s="167">
        <v>345.89580000000001</v>
      </c>
      <c r="D10" s="167">
        <v>251.27080000000001</v>
      </c>
      <c r="E10" s="167">
        <v>335.89582100000001</v>
      </c>
      <c r="F10" s="50">
        <f t="shared" si="0"/>
        <v>933.06242100000009</v>
      </c>
      <c r="H10" s="18" t="s">
        <v>6</v>
      </c>
      <c r="I10" s="167">
        <v>994.39580000000001</v>
      </c>
      <c r="J10" s="167">
        <v>523.20830000000001</v>
      </c>
      <c r="K10" s="167">
        <v>422.3125</v>
      </c>
      <c r="L10" s="50">
        <f t="shared" si="1"/>
        <v>1939.9166</v>
      </c>
    </row>
    <row r="11" spans="1:19" x14ac:dyDescent="0.25">
      <c r="B11" s="18" t="s">
        <v>7</v>
      </c>
      <c r="C11" s="167">
        <v>798.99990000000003</v>
      </c>
      <c r="D11" s="167">
        <v>643.95830000000001</v>
      </c>
      <c r="E11" s="167">
        <v>695.29164900000001</v>
      </c>
      <c r="F11" s="50">
        <f t="shared" si="0"/>
        <v>2138.2498489999998</v>
      </c>
      <c r="H11" s="18" t="s">
        <v>7</v>
      </c>
      <c r="I11" s="167">
        <v>3062.7710000000002</v>
      </c>
      <c r="J11" s="167">
        <v>1801.8119999999999</v>
      </c>
      <c r="K11" s="167">
        <v>1726.7080000000001</v>
      </c>
      <c r="L11" s="50">
        <f t="shared" si="1"/>
        <v>6591.2910000000011</v>
      </c>
    </row>
    <row r="12" spans="1:19" s="204" customFormat="1" x14ac:dyDescent="0.25">
      <c r="B12" s="18" t="s">
        <v>178</v>
      </c>
      <c r="C12" s="167">
        <v>13.666666666666668</v>
      </c>
      <c r="D12" s="167">
        <v>89.166666666666657</v>
      </c>
      <c r="E12" s="167">
        <v>6.166666666666667</v>
      </c>
      <c r="F12" s="50">
        <f t="shared" si="0"/>
        <v>109</v>
      </c>
      <c r="H12" s="18" t="s">
        <v>178</v>
      </c>
      <c r="I12" s="167">
        <v>59.666666666666671</v>
      </c>
      <c r="J12" s="167">
        <v>458.66666666666663</v>
      </c>
      <c r="K12" s="167">
        <v>47.833333333333336</v>
      </c>
      <c r="L12" s="50">
        <v>566.16666666666663</v>
      </c>
    </row>
    <row r="13" spans="1:19" x14ac:dyDescent="0.25">
      <c r="B13" s="17" t="s">
        <v>8</v>
      </c>
      <c r="C13" s="168">
        <f>SUM(C8:C12)</f>
        <v>3885.1658666666667</v>
      </c>
      <c r="D13" s="168">
        <f>SUM(D8:D12)</f>
        <v>3224.9367666666672</v>
      </c>
      <c r="E13" s="168">
        <v>1939.3332346666668</v>
      </c>
      <c r="F13" s="168">
        <f>SUM(F8:F12)</f>
        <v>9049.4358680000005</v>
      </c>
      <c r="H13" s="17" t="s">
        <v>8</v>
      </c>
      <c r="I13" s="168">
        <f>SUM(I8:I12)</f>
        <v>12320.082466666667</v>
      </c>
      <c r="J13" s="168">
        <f>SUM(J8:J12)</f>
        <v>7450.811466666667</v>
      </c>
      <c r="K13" s="168">
        <f>SUM(K8:K12)</f>
        <v>3978.1241333333337</v>
      </c>
      <c r="L13" s="168">
        <f>SUM(L8:L12)</f>
        <v>23749.018066666667</v>
      </c>
    </row>
    <row r="14" spans="1:19" x14ac:dyDescent="0.25">
      <c r="H14" s="43"/>
      <c r="I14" s="43"/>
      <c r="J14" s="43"/>
      <c r="K14" s="43"/>
      <c r="L14" s="43"/>
    </row>
    <row r="15" spans="1:19" x14ac:dyDescent="0.25">
      <c r="B15" s="644" t="s">
        <v>655</v>
      </c>
      <c r="C15" s="644"/>
      <c r="D15" s="644"/>
      <c r="E15" s="644"/>
      <c r="F15" s="644"/>
      <c r="H15" s="644" t="s">
        <v>653</v>
      </c>
      <c r="I15" s="644"/>
      <c r="J15" s="644"/>
      <c r="K15" s="644"/>
      <c r="L15" s="644"/>
    </row>
    <row r="16" spans="1:19" ht="15.75" thickBot="1" x14ac:dyDescent="0.3">
      <c r="B16" s="7"/>
      <c r="C16" s="12" t="s">
        <v>123</v>
      </c>
      <c r="D16" s="12" t="s">
        <v>124</v>
      </c>
      <c r="E16" s="12" t="s">
        <v>125</v>
      </c>
      <c r="F16" s="12" t="s">
        <v>8</v>
      </c>
      <c r="H16" s="7"/>
      <c r="I16" s="12" t="s">
        <v>123</v>
      </c>
      <c r="J16" s="12" t="s">
        <v>124</v>
      </c>
      <c r="K16" s="12" t="s">
        <v>125</v>
      </c>
      <c r="L16" s="12" t="s">
        <v>8</v>
      </c>
    </row>
    <row r="17" spans="2:12" ht="15.75" thickTop="1" x14ac:dyDescent="0.25">
      <c r="B17" s="18" t="s">
        <v>5</v>
      </c>
      <c r="C17" s="167">
        <v>284.74669999999998</v>
      </c>
      <c r="D17" s="167">
        <v>123.2349</v>
      </c>
      <c r="E17" s="167">
        <v>130.57919999999999</v>
      </c>
      <c r="F17" s="19">
        <f>SUM(C17:E17)</f>
        <v>538.56079999999997</v>
      </c>
      <c r="H17" s="18" t="s">
        <v>5</v>
      </c>
      <c r="I17" s="167">
        <v>768.89799100000005</v>
      </c>
      <c r="J17" s="167">
        <v>299.18584700000002</v>
      </c>
      <c r="K17" s="167">
        <v>303.87914699999999</v>
      </c>
      <c r="L17" s="19">
        <f>SUM(I17:K17)</f>
        <v>1371.9629850000001</v>
      </c>
    </row>
    <row r="18" spans="2:12" x14ac:dyDescent="0.25">
      <c r="B18" s="18" t="s">
        <v>51</v>
      </c>
      <c r="C18" s="167">
        <v>1165.7190000000001</v>
      </c>
      <c r="D18" s="167">
        <v>1419.51</v>
      </c>
      <c r="E18" s="167">
        <v>386.59620000000001</v>
      </c>
      <c r="F18" s="50">
        <f t="shared" ref="F18:F21" si="2">SUM(C18:E18)</f>
        <v>2971.8252000000002</v>
      </c>
      <c r="H18" s="18" t="s">
        <v>51</v>
      </c>
      <c r="I18" s="167">
        <v>3600.402619</v>
      </c>
      <c r="J18" s="167">
        <v>2965.453008</v>
      </c>
      <c r="K18" s="167">
        <v>795.47839199999999</v>
      </c>
      <c r="L18" s="50">
        <f t="shared" ref="L18:L20" si="3">SUM(I18:K18)</f>
        <v>7361.3340189999999</v>
      </c>
    </row>
    <row r="19" spans="2:12" x14ac:dyDescent="0.25">
      <c r="B19" s="18" t="s">
        <v>6</v>
      </c>
      <c r="C19" s="167">
        <v>328.32119999999998</v>
      </c>
      <c r="D19" s="167">
        <v>237.0883</v>
      </c>
      <c r="E19" s="167">
        <v>70.760400000000004</v>
      </c>
      <c r="F19" s="50">
        <f t="shared" si="2"/>
        <v>636.16989999999998</v>
      </c>
      <c r="H19" s="18" t="s">
        <v>6</v>
      </c>
      <c r="I19" s="167">
        <v>915.27875800000004</v>
      </c>
      <c r="J19" s="167">
        <v>498.137472</v>
      </c>
      <c r="K19" s="167">
        <v>125.689145</v>
      </c>
      <c r="L19" s="50">
        <f t="shared" si="3"/>
        <v>1539.1053750000001</v>
      </c>
    </row>
    <row r="20" spans="2:12" x14ac:dyDescent="0.25">
      <c r="B20" s="18" t="s">
        <v>7</v>
      </c>
      <c r="C20" s="167">
        <v>616.57629999999995</v>
      </c>
      <c r="D20" s="167">
        <v>540.21429999999998</v>
      </c>
      <c r="E20" s="167">
        <v>588.16449999999998</v>
      </c>
      <c r="F20" s="50">
        <f t="shared" si="2"/>
        <v>1744.9550999999997</v>
      </c>
      <c r="H20" s="18" t="s">
        <v>7</v>
      </c>
      <c r="I20" s="167">
        <v>2264.5409800000002</v>
      </c>
      <c r="J20" s="167">
        <v>1385.45299</v>
      </c>
      <c r="K20" s="167">
        <v>1460.120674</v>
      </c>
      <c r="L20" s="50">
        <f t="shared" si="3"/>
        <v>5110.1146440000002</v>
      </c>
    </row>
    <row r="21" spans="2:12" s="204" customFormat="1" x14ac:dyDescent="0.25">
      <c r="B21" s="18" t="s">
        <v>178</v>
      </c>
      <c r="C21" s="167">
        <v>13.266666666666667</v>
      </c>
      <c r="D21" s="167">
        <v>85.466666666666654</v>
      </c>
      <c r="E21" s="167">
        <v>6.166666666666667</v>
      </c>
      <c r="F21" s="50">
        <f t="shared" si="2"/>
        <v>104.89999999999999</v>
      </c>
      <c r="H21" s="157" t="s">
        <v>178</v>
      </c>
      <c r="I21" s="162">
        <v>52.966666666666697</v>
      </c>
      <c r="J21" s="162">
        <v>426.36666666666662</v>
      </c>
      <c r="K21" s="162">
        <v>47.833333333333336</v>
      </c>
      <c r="L21" s="179">
        <f>SUM(I21:K21)</f>
        <v>527.16666666666663</v>
      </c>
    </row>
    <row r="22" spans="2:12" x14ac:dyDescent="0.25">
      <c r="B22" s="17" t="s">
        <v>8</v>
      </c>
      <c r="C22" s="168">
        <f>SUM(C17:C21)</f>
        <v>2408.6298666666667</v>
      </c>
      <c r="D22" s="168">
        <f>SUM(D17:D21)</f>
        <v>2405.5141666666668</v>
      </c>
      <c r="E22" s="168">
        <f>SUM(E17:E21)</f>
        <v>1182.2669666666668</v>
      </c>
      <c r="F22" s="168">
        <f>SUM(F17:F21)</f>
        <v>5996.4110000000001</v>
      </c>
      <c r="H22" s="17" t="s">
        <v>8</v>
      </c>
      <c r="I22" s="168">
        <f t="shared" ref="I22:K22" si="4">SUM(I17:I21)</f>
        <v>7602.0870146666675</v>
      </c>
      <c r="J22" s="168">
        <f t="shared" si="4"/>
        <v>5574.5959836666671</v>
      </c>
      <c r="K22" s="168">
        <f t="shared" si="4"/>
        <v>2733.0006913333336</v>
      </c>
      <c r="L22" s="168">
        <f>SUM(L17:L21)</f>
        <v>15909.683689666666</v>
      </c>
    </row>
    <row r="24" spans="2:12" x14ac:dyDescent="0.25">
      <c r="B24" s="717" t="s">
        <v>376</v>
      </c>
      <c r="C24" s="717"/>
      <c r="D24" s="717"/>
      <c r="E24" s="717"/>
      <c r="F24" s="717"/>
    </row>
    <row r="25" spans="2:12" x14ac:dyDescent="0.25">
      <c r="B25" s="644" t="s">
        <v>654</v>
      </c>
      <c r="C25" s="644"/>
      <c r="D25" s="644"/>
      <c r="E25" s="644"/>
      <c r="F25" s="644"/>
    </row>
    <row r="26" spans="2:12" ht="15.75" thickBot="1" x14ac:dyDescent="0.3">
      <c r="B26" s="7"/>
      <c r="C26" s="12" t="s">
        <v>123</v>
      </c>
      <c r="D26" s="12" t="s">
        <v>124</v>
      </c>
      <c r="E26" s="12" t="s">
        <v>125</v>
      </c>
      <c r="F26" s="12" t="s">
        <v>8</v>
      </c>
    </row>
    <row r="27" spans="2:12" ht="15.75" thickTop="1" x14ac:dyDescent="0.25">
      <c r="B27" s="18" t="s">
        <v>5</v>
      </c>
      <c r="C27" s="176">
        <f t="shared" ref="C27:F29" si="5">C8/I8</f>
        <v>0.37727746112963206</v>
      </c>
      <c r="D27" s="176">
        <f>D8/J8</f>
        <v>0.44466600199401796</v>
      </c>
      <c r="E27" s="176">
        <f t="shared" si="5"/>
        <v>0.46016922361667717</v>
      </c>
      <c r="F27" s="44">
        <f>F8/L8</f>
        <v>0.40975961709462438</v>
      </c>
    </row>
    <row r="28" spans="2:12" x14ac:dyDescent="0.25">
      <c r="B28" s="18" t="s">
        <v>51</v>
      </c>
      <c r="C28" s="176">
        <f t="shared" si="5"/>
        <v>0.32571819833360099</v>
      </c>
      <c r="D28" s="176">
        <f t="shared" si="5"/>
        <v>0.48374292152518544</v>
      </c>
      <c r="E28" s="176">
        <f t="shared" si="5"/>
        <v>0.51886372285961679</v>
      </c>
      <c r="F28" s="44">
        <f t="shared" si="5"/>
        <v>0.39922783544854878</v>
      </c>
    </row>
    <row r="29" spans="2:12" x14ac:dyDescent="0.25">
      <c r="B29" s="18" t="s">
        <v>6</v>
      </c>
      <c r="C29" s="176">
        <f t="shared" si="5"/>
        <v>0.34784519403641889</v>
      </c>
      <c r="D29" s="176">
        <f t="shared" si="5"/>
        <v>0.48025002661463895</v>
      </c>
      <c r="E29" s="176">
        <f t="shared" si="5"/>
        <v>0.79537267071185436</v>
      </c>
      <c r="F29" s="44">
        <f t="shared" si="5"/>
        <v>0.48098068803576405</v>
      </c>
    </row>
    <row r="30" spans="2:12" x14ac:dyDescent="0.25">
      <c r="B30" s="18" t="s">
        <v>7</v>
      </c>
      <c r="C30" s="176">
        <f>C11/I11</f>
        <v>0.26087484176910386</v>
      </c>
      <c r="D30" s="176">
        <f>D11/J11</f>
        <v>0.35739483364524161</v>
      </c>
      <c r="E30" s="176">
        <f t="shared" ref="E30:E31" si="6">E11/K11</f>
        <v>0.40266892201808296</v>
      </c>
      <c r="F30" s="44">
        <f t="shared" ref="F30" si="7">F11/L11</f>
        <v>0.32440531741050416</v>
      </c>
    </row>
    <row r="31" spans="2:12" s="204" customFormat="1" x14ac:dyDescent="0.25">
      <c r="B31" s="18" t="s">
        <v>178</v>
      </c>
      <c r="C31" s="176">
        <f>C12/I12</f>
        <v>0.22905027932960895</v>
      </c>
      <c r="D31" s="176">
        <f t="shared" ref="D31" si="8">D12/J12</f>
        <v>0.19440406976744184</v>
      </c>
      <c r="E31" s="176">
        <f t="shared" si="6"/>
        <v>0.1289198606271777</v>
      </c>
      <c r="F31" s="44">
        <f>F12/L12</f>
        <v>0.19252281424786577</v>
      </c>
    </row>
    <row r="32" spans="2:12" x14ac:dyDescent="0.25">
      <c r="B32" s="17" t="s">
        <v>8</v>
      </c>
      <c r="C32" s="177">
        <f>C13/I13</f>
        <v>0.3153522614137047</v>
      </c>
      <c r="D32" s="177">
        <f>D13/J13</f>
        <v>0.4328302737351955</v>
      </c>
      <c r="E32" s="177">
        <f>E13/K13</f>
        <v>0.48749942678175517</v>
      </c>
      <c r="F32" s="177">
        <f>F13/L13</f>
        <v>0.38104463277584888</v>
      </c>
    </row>
    <row r="33" spans="2:6" x14ac:dyDescent="0.25">
      <c r="B33" s="46"/>
      <c r="C33" s="46"/>
      <c r="D33" s="46"/>
      <c r="E33" s="46"/>
      <c r="F33" s="46"/>
    </row>
    <row r="34" spans="2:6" x14ac:dyDescent="0.25">
      <c r="B34" s="717" t="s">
        <v>376</v>
      </c>
      <c r="C34" s="717"/>
      <c r="D34" s="717"/>
      <c r="E34" s="717"/>
      <c r="F34" s="717"/>
    </row>
    <row r="35" spans="2:6" x14ac:dyDescent="0.25">
      <c r="B35" s="644" t="s">
        <v>655</v>
      </c>
      <c r="C35" s="644"/>
      <c r="D35" s="644"/>
      <c r="E35" s="644"/>
      <c r="F35" s="644"/>
    </row>
    <row r="36" spans="2:6" ht="15.75" thickBot="1" x14ac:dyDescent="0.3">
      <c r="B36" s="7"/>
      <c r="C36" s="12" t="s">
        <v>123</v>
      </c>
      <c r="D36" s="12" t="s">
        <v>124</v>
      </c>
      <c r="E36" s="12" t="s">
        <v>125</v>
      </c>
      <c r="F36" s="12" t="s">
        <v>8</v>
      </c>
    </row>
    <row r="37" spans="2:6" ht="15.75" thickTop="1" x14ac:dyDescent="0.25">
      <c r="B37" s="18" t="s">
        <v>5</v>
      </c>
      <c r="C37" s="176">
        <f>C17/I17</f>
        <v>0.3703309194886425</v>
      </c>
      <c r="D37" s="176">
        <f>D17/J17</f>
        <v>0.4119008343332497</v>
      </c>
      <c r="E37" s="176">
        <f>E17/K17</f>
        <v>0.42970766927945864</v>
      </c>
      <c r="F37" s="44">
        <f>F17/L17</f>
        <v>0.39254761672742938</v>
      </c>
    </row>
    <row r="38" spans="2:6" x14ac:dyDescent="0.25">
      <c r="B38" s="18" t="s">
        <v>51</v>
      </c>
      <c r="C38" s="176">
        <f t="shared" ref="C38:C40" si="9">C18/I18</f>
        <v>0.32377462282920311</v>
      </c>
      <c r="D38" s="176">
        <f t="shared" ref="D38:D41" si="10">D18/J18</f>
        <v>0.47868234504830837</v>
      </c>
      <c r="E38" s="176">
        <f t="shared" ref="E38:E41" si="11">E18/K18</f>
        <v>0.48599208210799522</v>
      </c>
      <c r="F38" s="44">
        <f t="shared" ref="F38:F41" si="12">F18/L18</f>
        <v>0.40370742481316013</v>
      </c>
    </row>
    <row r="39" spans="2:6" x14ac:dyDescent="0.25">
      <c r="B39" s="18" t="s">
        <v>6</v>
      </c>
      <c r="C39" s="176">
        <f t="shared" si="9"/>
        <v>0.35871170081279213</v>
      </c>
      <c r="D39" s="176">
        <f t="shared" si="10"/>
        <v>0.47594953868477496</v>
      </c>
      <c r="E39" s="176">
        <f t="shared" si="11"/>
        <v>0.56297940446647166</v>
      </c>
      <c r="F39" s="44">
        <f t="shared" si="12"/>
        <v>0.41333745585808246</v>
      </c>
    </row>
    <row r="40" spans="2:6" x14ac:dyDescent="0.25">
      <c r="B40" s="18" t="s">
        <v>7</v>
      </c>
      <c r="C40" s="176">
        <f t="shared" si="9"/>
        <v>0.27227429551749593</v>
      </c>
      <c r="D40" s="176">
        <f t="shared" si="10"/>
        <v>0.38991889576852407</v>
      </c>
      <c r="E40" s="176">
        <f t="shared" si="11"/>
        <v>0.40281910288190331</v>
      </c>
      <c r="F40" s="44">
        <f t="shared" si="12"/>
        <v>0.34147083217571733</v>
      </c>
    </row>
    <row r="41" spans="2:6" s="204" customFormat="1" x14ac:dyDescent="0.25">
      <c r="B41" s="18" t="s">
        <v>178</v>
      </c>
      <c r="C41" s="176">
        <f>C21/I21</f>
        <v>0.25047199496538691</v>
      </c>
      <c r="D41" s="176">
        <f t="shared" si="10"/>
        <v>0.20045344382769134</v>
      </c>
      <c r="E41" s="176">
        <f t="shared" si="11"/>
        <v>0.1289198606271777</v>
      </c>
      <c r="F41" s="44">
        <f t="shared" si="12"/>
        <v>0.1989883022447044</v>
      </c>
    </row>
    <row r="42" spans="2:6" x14ac:dyDescent="0.25">
      <c r="B42" s="17" t="s">
        <v>8</v>
      </c>
      <c r="C42" s="177">
        <f>C22/I22</f>
        <v>0.31683797646879197</v>
      </c>
      <c r="D42" s="177">
        <f>D22/J22</f>
        <v>0.4315136332237749</v>
      </c>
      <c r="E42" s="177">
        <f>E22/K22</f>
        <v>0.43258934050612363</v>
      </c>
      <c r="F42" s="177">
        <f>F22/L22</f>
        <v>0.3769032192572544</v>
      </c>
    </row>
  </sheetData>
  <sheetProtection password="C69F" sheet="1" objects="1" scenarios="1"/>
  <mergeCells count="8">
    <mergeCell ref="H6:L6"/>
    <mergeCell ref="H15:L15"/>
    <mergeCell ref="B25:F25"/>
    <mergeCell ref="B35:F35"/>
    <mergeCell ref="B15:F15"/>
    <mergeCell ref="B6:F6"/>
    <mergeCell ref="B24:F24"/>
    <mergeCell ref="B34:F34"/>
  </mergeCells>
  <hyperlinks>
    <hyperlink ref="A1" location="ÍNDICE!A1" display="ÍNDICE"/>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P78"/>
  <sheetViews>
    <sheetView zoomScale="90" zoomScaleNormal="90" workbookViewId="0"/>
  </sheetViews>
  <sheetFormatPr baseColWidth="10" defaultRowHeight="15" x14ac:dyDescent="0.25"/>
  <cols>
    <col min="3" max="3" width="18.42578125" bestFit="1" customWidth="1"/>
    <col min="4" max="4" width="10.28515625" customWidth="1"/>
    <col min="5" max="5" width="25.28515625" customWidth="1"/>
    <col min="6" max="6" width="16.85546875" customWidth="1"/>
    <col min="11" max="11" width="11.28515625" customWidth="1"/>
    <col min="12" max="12" width="10.28515625" customWidth="1"/>
    <col min="13" max="13" width="25.28515625" customWidth="1"/>
    <col min="14" max="14" width="16.85546875" customWidth="1"/>
  </cols>
  <sheetData>
    <row r="1" spans="1:16" s="54" customFormat="1" x14ac:dyDescent="0.25">
      <c r="A1" s="59" t="s">
        <v>132</v>
      </c>
    </row>
    <row r="2" spans="1:16" x14ac:dyDescent="0.25">
      <c r="A2" s="1" t="s">
        <v>424</v>
      </c>
    </row>
    <row r="3" spans="1:16" x14ac:dyDescent="0.25">
      <c r="A3" s="1"/>
    </row>
    <row r="4" spans="1:16" x14ac:dyDescent="0.25">
      <c r="A4" s="58" t="s">
        <v>103</v>
      </c>
      <c r="B4" t="s">
        <v>586</v>
      </c>
    </row>
    <row r="6" spans="1:16" x14ac:dyDescent="0.25">
      <c r="B6" s="644" t="s">
        <v>656</v>
      </c>
      <c r="C6" s="644"/>
      <c r="D6" s="644"/>
      <c r="E6" s="644"/>
      <c r="F6" s="644"/>
      <c r="G6" s="644"/>
      <c r="H6" s="644"/>
      <c r="J6" s="644" t="s">
        <v>658</v>
      </c>
      <c r="K6" s="644"/>
      <c r="L6" s="644"/>
      <c r="M6" s="644"/>
      <c r="N6" s="644"/>
      <c r="O6" s="644"/>
      <c r="P6" s="644"/>
    </row>
    <row r="7" spans="1:16" ht="15.75" thickBot="1" x14ac:dyDescent="0.3">
      <c r="B7" s="7"/>
      <c r="C7" s="12" t="s">
        <v>67</v>
      </c>
      <c r="D7" s="12" t="s">
        <v>68</v>
      </c>
      <c r="E7" s="12" t="s">
        <v>69</v>
      </c>
      <c r="F7" s="12" t="s">
        <v>70</v>
      </c>
      <c r="G7" s="12" t="s">
        <v>71</v>
      </c>
      <c r="H7" s="12" t="s">
        <v>8</v>
      </c>
      <c r="J7" s="7"/>
      <c r="K7" s="12" t="s">
        <v>67</v>
      </c>
      <c r="L7" s="12" t="s">
        <v>68</v>
      </c>
      <c r="M7" s="12" t="s">
        <v>69</v>
      </c>
      <c r="N7" s="12" t="s">
        <v>70</v>
      </c>
      <c r="O7" s="12" t="s">
        <v>71</v>
      </c>
      <c r="P7" s="12" t="s">
        <v>8</v>
      </c>
    </row>
    <row r="8" spans="1:16" ht="15.75" thickTop="1" x14ac:dyDescent="0.25">
      <c r="B8" s="18" t="s">
        <v>5</v>
      </c>
      <c r="C8" s="167">
        <v>44.66666</v>
      </c>
      <c r="D8" s="167">
        <v>140.52080000000001</v>
      </c>
      <c r="E8" s="167">
        <v>342.54160000000002</v>
      </c>
      <c r="F8" s="167">
        <v>135.83330000000001</v>
      </c>
      <c r="G8" s="167">
        <v>106</v>
      </c>
      <c r="H8" s="19">
        <f>SUM(C8:G8)</f>
        <v>769.56236000000001</v>
      </c>
      <c r="J8" s="18" t="s">
        <v>5</v>
      </c>
      <c r="K8" s="167">
        <v>191.49998500000001</v>
      </c>
      <c r="L8" s="167">
        <v>309.10413199999999</v>
      </c>
      <c r="M8" s="167">
        <v>813.04159900000002</v>
      </c>
      <c r="N8" s="167">
        <v>313.56249600000001</v>
      </c>
      <c r="O8" s="167">
        <v>250.87498500000001</v>
      </c>
      <c r="P8" s="19">
        <f>SUM(K8:O8)</f>
        <v>1878.0831969999999</v>
      </c>
    </row>
    <row r="9" spans="1:16" x14ac:dyDescent="0.25">
      <c r="B9" s="18" t="s">
        <v>51</v>
      </c>
      <c r="C9" s="167">
        <v>1423.771</v>
      </c>
      <c r="D9" s="167">
        <v>724.22910000000002</v>
      </c>
      <c r="E9" s="167">
        <v>2071.2289999999998</v>
      </c>
      <c r="F9" s="167">
        <v>503.97910000000002</v>
      </c>
      <c r="G9" s="167">
        <v>376.35410000000002</v>
      </c>
      <c r="H9" s="50">
        <f t="shared" ref="H9:H11" si="0">SUM(C9:G9)</f>
        <v>5099.5623000000014</v>
      </c>
      <c r="J9" s="18" t="s">
        <v>51</v>
      </c>
      <c r="K9" s="167">
        <v>4995.083036</v>
      </c>
      <c r="L9" s="167">
        <v>1571.4164940000001</v>
      </c>
      <c r="M9" s="167">
        <v>4590.3121650000003</v>
      </c>
      <c r="N9" s="167">
        <v>888.68745899999999</v>
      </c>
      <c r="O9" s="167">
        <v>728.06240400000002</v>
      </c>
      <c r="P9" s="50">
        <f t="shared" ref="P9:P11" si="1">SUM(K9:O9)</f>
        <v>12773.561558000001</v>
      </c>
    </row>
    <row r="10" spans="1:16" x14ac:dyDescent="0.25">
      <c r="B10" s="18" t="s">
        <v>6</v>
      </c>
      <c r="C10" s="167">
        <v>70.729159999999993</v>
      </c>
      <c r="D10" s="167">
        <v>66.312489999999997</v>
      </c>
      <c r="E10" s="167">
        <v>603.89580000000001</v>
      </c>
      <c r="F10" s="167">
        <v>159.5625</v>
      </c>
      <c r="G10" s="167">
        <v>32.5625</v>
      </c>
      <c r="H10" s="50">
        <f t="shared" si="0"/>
        <v>933.06245000000001</v>
      </c>
      <c r="J10" s="18" t="s">
        <v>6</v>
      </c>
      <c r="K10" s="167">
        <v>238.81247999999999</v>
      </c>
      <c r="L10" s="167">
        <v>154.79164800000001</v>
      </c>
      <c r="M10" s="167">
        <v>1088.666592</v>
      </c>
      <c r="N10" s="167">
        <v>378.29165899999998</v>
      </c>
      <c r="O10" s="167">
        <v>79.354152999999997</v>
      </c>
      <c r="P10" s="50">
        <f t="shared" si="1"/>
        <v>1939.916532</v>
      </c>
    </row>
    <row r="11" spans="1:16" x14ac:dyDescent="0.25">
      <c r="B11" s="18" t="s">
        <v>7</v>
      </c>
      <c r="C11" s="167">
        <v>69.499989999999997</v>
      </c>
      <c r="D11" s="167">
        <v>134.33330000000001</v>
      </c>
      <c r="E11" s="167">
        <v>819.875</v>
      </c>
      <c r="F11" s="167">
        <v>339.16669999999999</v>
      </c>
      <c r="G11" s="167">
        <v>775.375</v>
      </c>
      <c r="H11" s="50">
        <f t="shared" si="0"/>
        <v>2138.2499900000003</v>
      </c>
      <c r="J11" s="18" t="s">
        <v>7</v>
      </c>
      <c r="K11" s="167">
        <v>209.29164499999999</v>
      </c>
      <c r="L11" s="167">
        <v>537.43746899999996</v>
      </c>
      <c r="M11" s="167">
        <v>2992.8331920000001</v>
      </c>
      <c r="N11" s="167">
        <v>978.02080000000001</v>
      </c>
      <c r="O11" s="167">
        <v>1873.708298</v>
      </c>
      <c r="P11" s="50">
        <f t="shared" si="1"/>
        <v>6591.2914039999996</v>
      </c>
    </row>
    <row r="12" spans="1:16" x14ac:dyDescent="0.25">
      <c r="B12" s="17" t="s">
        <v>8</v>
      </c>
      <c r="C12" s="20">
        <f>SUM(C8:C11)</f>
        <v>1608.6668100000002</v>
      </c>
      <c r="D12" s="168">
        <f t="shared" ref="D12:H12" si="2">SUM(D8:D11)</f>
        <v>1065.3956900000001</v>
      </c>
      <c r="E12" s="168">
        <f t="shared" si="2"/>
        <v>3837.5414000000001</v>
      </c>
      <c r="F12" s="168">
        <f>SUM(F8:F11)</f>
        <v>1138.5416</v>
      </c>
      <c r="G12" s="168">
        <f t="shared" si="2"/>
        <v>1290.2916</v>
      </c>
      <c r="H12" s="168">
        <f t="shared" si="2"/>
        <v>8940.4371000000028</v>
      </c>
      <c r="J12" s="17" t="s">
        <v>8</v>
      </c>
      <c r="K12" s="20">
        <f>SUM(K8:K11)</f>
        <v>5634.6871460000002</v>
      </c>
      <c r="L12" s="168">
        <f t="shared" ref="L12:P12" si="3">SUM(L8:L11)</f>
        <v>2572.7497429999999</v>
      </c>
      <c r="M12" s="168">
        <f t="shared" si="3"/>
        <v>9484.853548000001</v>
      </c>
      <c r="N12" s="168">
        <f t="shared" si="3"/>
        <v>2558.562414</v>
      </c>
      <c r="O12" s="168">
        <f t="shared" si="3"/>
        <v>2931.9998399999999</v>
      </c>
      <c r="P12" s="168">
        <f t="shared" si="3"/>
        <v>23182.852691</v>
      </c>
    </row>
    <row r="13" spans="1:16" x14ac:dyDescent="0.25">
      <c r="J13" s="46"/>
      <c r="K13" s="46"/>
      <c r="L13" s="46"/>
      <c r="M13" s="46"/>
      <c r="N13" s="46"/>
      <c r="O13" s="46"/>
      <c r="P13" s="46"/>
    </row>
    <row r="14" spans="1:16" x14ac:dyDescent="0.25">
      <c r="B14" s="644" t="s">
        <v>657</v>
      </c>
      <c r="C14" s="644"/>
      <c r="D14" s="644"/>
      <c r="E14" s="644"/>
      <c r="F14" s="644"/>
      <c r="G14" s="644"/>
      <c r="H14" s="644"/>
      <c r="J14" s="644" t="s">
        <v>659</v>
      </c>
      <c r="K14" s="644"/>
      <c r="L14" s="644"/>
      <c r="M14" s="644"/>
      <c r="N14" s="644"/>
      <c r="O14" s="644"/>
      <c r="P14" s="644"/>
    </row>
    <row r="15" spans="1:16" ht="15.75" thickBot="1" x14ac:dyDescent="0.3">
      <c r="B15" s="7"/>
      <c r="C15" s="12" t="s">
        <v>67</v>
      </c>
      <c r="D15" s="12" t="s">
        <v>68</v>
      </c>
      <c r="E15" s="12" t="s">
        <v>69</v>
      </c>
      <c r="F15" s="12" t="s">
        <v>70</v>
      </c>
      <c r="G15" s="12" t="s">
        <v>71</v>
      </c>
      <c r="H15" s="12" t="s">
        <v>8</v>
      </c>
      <c r="J15" s="7"/>
      <c r="K15" s="12" t="s">
        <v>67</v>
      </c>
      <c r="L15" s="12" t="s">
        <v>68</v>
      </c>
      <c r="M15" s="12" t="s">
        <v>69</v>
      </c>
      <c r="N15" s="12" t="s">
        <v>70</v>
      </c>
      <c r="O15" s="12" t="s">
        <v>71</v>
      </c>
      <c r="P15" s="12" t="s">
        <v>8</v>
      </c>
    </row>
    <row r="16" spans="1:16" ht="15.75" thickTop="1" x14ac:dyDescent="0.25">
      <c r="B16" s="18" t="s">
        <v>5</v>
      </c>
      <c r="C16" s="167">
        <v>35.186869999999999</v>
      </c>
      <c r="D16" s="167">
        <v>94.524029999999996</v>
      </c>
      <c r="E16" s="167">
        <v>221.17070000000001</v>
      </c>
      <c r="F16" s="167">
        <v>105.765</v>
      </c>
      <c r="G16" s="167">
        <v>81.914159999999995</v>
      </c>
      <c r="H16" s="19">
        <f>SUM(C16:G16)</f>
        <v>538.56075999999996</v>
      </c>
      <c r="J16" s="18" t="s">
        <v>5</v>
      </c>
      <c r="K16" s="167">
        <v>162.39290500000001</v>
      </c>
      <c r="L16" s="167">
        <v>224.70594600000001</v>
      </c>
      <c r="M16" s="167">
        <v>531.34956999999997</v>
      </c>
      <c r="N16" s="167">
        <v>242.22124500000001</v>
      </c>
      <c r="O16" s="167">
        <v>211.293319</v>
      </c>
      <c r="P16" s="50">
        <f>SUM(K16:O16)</f>
        <v>1371.9629850000001</v>
      </c>
    </row>
    <row r="17" spans="2:16" x14ac:dyDescent="0.25">
      <c r="B17" s="18" t="s">
        <v>51</v>
      </c>
      <c r="C17" s="167">
        <v>711.85490000000004</v>
      </c>
      <c r="D17" s="167">
        <v>379.93990000000002</v>
      </c>
      <c r="E17" s="167">
        <v>1364.759</v>
      </c>
      <c r="F17" s="167">
        <v>303.69060000000002</v>
      </c>
      <c r="G17" s="167">
        <v>211.58029999999999</v>
      </c>
      <c r="H17" s="50">
        <f t="shared" ref="H17:H19" si="4">SUM(C17:G17)</f>
        <v>2971.8247000000001</v>
      </c>
      <c r="J17" s="18" t="s">
        <v>51</v>
      </c>
      <c r="K17" s="167">
        <v>2523.91734</v>
      </c>
      <c r="L17" s="167">
        <v>824.18960300000003</v>
      </c>
      <c r="M17" s="167">
        <v>2999.312527</v>
      </c>
      <c r="N17" s="167">
        <v>588.30892100000005</v>
      </c>
      <c r="O17" s="167">
        <v>425.60562800000002</v>
      </c>
      <c r="P17" s="50">
        <f t="shared" ref="P17:P19" si="5">SUM(K17:O17)</f>
        <v>7361.3340189999999</v>
      </c>
    </row>
    <row r="18" spans="2:16" x14ac:dyDescent="0.25">
      <c r="B18" s="18" t="s">
        <v>6</v>
      </c>
      <c r="C18" s="167">
        <v>69.645830000000004</v>
      </c>
      <c r="D18" s="167">
        <v>60.333320000000001</v>
      </c>
      <c r="E18" s="167">
        <v>329.27749999999997</v>
      </c>
      <c r="F18" s="167">
        <v>145.7175</v>
      </c>
      <c r="G18" s="167">
        <v>31.195830000000001</v>
      </c>
      <c r="H18" s="50">
        <f t="shared" si="4"/>
        <v>636.16998000000001</v>
      </c>
      <c r="J18" s="18" t="s">
        <v>6</v>
      </c>
      <c r="K18" s="167">
        <v>225.921233</v>
      </c>
      <c r="L18" s="167">
        <v>135.64048299999999</v>
      </c>
      <c r="M18" s="167">
        <v>740.623471</v>
      </c>
      <c r="N18" s="167">
        <v>360.92020200000002</v>
      </c>
      <c r="O18" s="167">
        <v>75.999986000000007</v>
      </c>
      <c r="P18" s="50">
        <f t="shared" si="5"/>
        <v>1539.1053750000001</v>
      </c>
    </row>
    <row r="19" spans="2:16" x14ac:dyDescent="0.25">
      <c r="B19" s="18" t="s">
        <v>7</v>
      </c>
      <c r="C19" s="167">
        <v>58.057490000000001</v>
      </c>
      <c r="D19" s="167">
        <v>101.7499</v>
      </c>
      <c r="E19" s="167">
        <v>622.86</v>
      </c>
      <c r="F19" s="167">
        <v>263.64980000000003</v>
      </c>
      <c r="G19" s="167">
        <v>698.63789999999995</v>
      </c>
      <c r="H19" s="50">
        <f t="shared" si="4"/>
        <v>1744.9550900000002</v>
      </c>
      <c r="J19" s="18" t="s">
        <v>7</v>
      </c>
      <c r="K19" s="167">
        <v>160.77169699999999</v>
      </c>
      <c r="L19" s="167">
        <v>372.77810099999999</v>
      </c>
      <c r="M19" s="167">
        <v>2174.0584220000001</v>
      </c>
      <c r="N19" s="167">
        <v>740.129997</v>
      </c>
      <c r="O19" s="167">
        <v>1662.3764269999999</v>
      </c>
      <c r="P19" s="50">
        <f t="shared" si="5"/>
        <v>5110.1146440000002</v>
      </c>
    </row>
    <row r="20" spans="2:16" x14ac:dyDescent="0.25">
      <c r="B20" s="17" t="s">
        <v>8</v>
      </c>
      <c r="C20" s="20">
        <f>SUM(C16:C19)</f>
        <v>874.74509000000012</v>
      </c>
      <c r="D20" s="168">
        <f t="shared" ref="D20:H20" si="6">SUM(D16:D19)</f>
        <v>636.54714999999999</v>
      </c>
      <c r="E20" s="168">
        <f t="shared" si="6"/>
        <v>2538.0672</v>
      </c>
      <c r="F20" s="168">
        <f t="shared" si="6"/>
        <v>818.8229</v>
      </c>
      <c r="G20" s="168">
        <f t="shared" si="6"/>
        <v>1023.3281899999999</v>
      </c>
      <c r="H20" s="168">
        <f t="shared" si="6"/>
        <v>5891.5105300000005</v>
      </c>
      <c r="J20" s="17" t="s">
        <v>8</v>
      </c>
      <c r="K20" s="168">
        <f>SUM(K16:K19)</f>
        <v>3073.0031750000003</v>
      </c>
      <c r="L20" s="168">
        <f t="shared" ref="L20:O20" si="7">SUM(L16:L19)</f>
        <v>1557.3141329999999</v>
      </c>
      <c r="M20" s="168">
        <f t="shared" si="7"/>
        <v>6445.3439900000003</v>
      </c>
      <c r="N20" s="168">
        <f t="shared" si="7"/>
        <v>1931.580365</v>
      </c>
      <c r="O20" s="168">
        <f t="shared" si="7"/>
        <v>2375.2753600000001</v>
      </c>
      <c r="P20" s="168">
        <f>SUM(P16:P19)</f>
        <v>15382.517023</v>
      </c>
    </row>
    <row r="22" spans="2:16" ht="15" customHeight="1" x14ac:dyDescent="0.25">
      <c r="B22" s="717" t="s">
        <v>376</v>
      </c>
      <c r="C22" s="717"/>
      <c r="D22" s="717"/>
      <c r="E22" s="717"/>
      <c r="F22" s="717"/>
      <c r="G22" s="717"/>
      <c r="H22" s="717"/>
    </row>
    <row r="23" spans="2:16" x14ac:dyDescent="0.25">
      <c r="B23" s="644" t="s">
        <v>656</v>
      </c>
      <c r="C23" s="644"/>
      <c r="D23" s="644"/>
      <c r="E23" s="644"/>
      <c r="F23" s="644"/>
      <c r="G23" s="644"/>
      <c r="H23" s="644"/>
    </row>
    <row r="24" spans="2:16" ht="15.75" thickBot="1" x14ac:dyDescent="0.3">
      <c r="B24" s="7"/>
      <c r="C24" s="12" t="s">
        <v>67</v>
      </c>
      <c r="D24" s="12" t="s">
        <v>68</v>
      </c>
      <c r="E24" s="12" t="s">
        <v>69</v>
      </c>
      <c r="F24" s="12" t="s">
        <v>70</v>
      </c>
      <c r="G24" s="12" t="s">
        <v>71</v>
      </c>
      <c r="H24" s="12" t="s">
        <v>8</v>
      </c>
    </row>
    <row r="25" spans="2:16" ht="15.75" thickTop="1" x14ac:dyDescent="0.25">
      <c r="B25" s="18" t="s">
        <v>5</v>
      </c>
      <c r="C25" s="42">
        <f>C8/K8</f>
        <v>0.23324628458848182</v>
      </c>
      <c r="D25" s="42">
        <f t="shared" ref="D25:H25" si="8">D8/L8</f>
        <v>0.45460666957373452</v>
      </c>
      <c r="E25" s="42">
        <f t="shared" si="8"/>
        <v>0.4213088240765403</v>
      </c>
      <c r="F25" s="42">
        <f t="shared" si="8"/>
        <v>0.43319370694127912</v>
      </c>
      <c r="G25" s="42">
        <f t="shared" si="8"/>
        <v>0.42252120114725666</v>
      </c>
      <c r="H25" s="44">
        <f t="shared" si="8"/>
        <v>0.40975946179023293</v>
      </c>
    </row>
    <row r="26" spans="2:16" x14ac:dyDescent="0.25">
      <c r="B26" s="18" t="s">
        <v>51</v>
      </c>
      <c r="C26" s="42">
        <f>C9/K9</f>
        <v>0.28503450087591298</v>
      </c>
      <c r="D26" s="42">
        <f t="shared" ref="D26:D29" si="9">D9/L9</f>
        <v>0.46087660576636408</v>
      </c>
      <c r="E26" s="42">
        <f t="shared" ref="E26:E29" si="10">E9/M9</f>
        <v>0.45121746093710374</v>
      </c>
      <c r="F26" s="42">
        <f>F9/N9</f>
        <v>0.56710499838391448</v>
      </c>
      <c r="G26" s="42">
        <f t="shared" ref="G26:G29" si="11">G9/O9</f>
        <v>0.51692560683300992</v>
      </c>
      <c r="H26" s="44">
        <f>H9/P9</f>
        <v>0.39922791124814971</v>
      </c>
    </row>
    <row r="27" spans="2:16" x14ac:dyDescent="0.25">
      <c r="B27" s="18" t="s">
        <v>6</v>
      </c>
      <c r="C27" s="42">
        <f t="shared" ref="C27:C29" si="12">C10/K10</f>
        <v>0.29617028389806094</v>
      </c>
      <c r="D27" s="42">
        <f t="shared" si="9"/>
        <v>0.42839837198451425</v>
      </c>
      <c r="E27" s="42">
        <f t="shared" si="10"/>
        <v>0.5547114281247274</v>
      </c>
      <c r="F27" s="42">
        <f t="shared" ref="F27:F29" si="13">F10/N10</f>
        <v>0.42179756334516488</v>
      </c>
      <c r="G27" s="42">
        <f t="shared" si="11"/>
        <v>0.41034399296026763</v>
      </c>
      <c r="H27" s="44">
        <f t="shared" ref="H27:H29" si="14">H10/P10</f>
        <v>0.48098071984470309</v>
      </c>
    </row>
    <row r="28" spans="2:16" x14ac:dyDescent="0.25">
      <c r="B28" s="18" t="s">
        <v>7</v>
      </c>
      <c r="C28" s="42">
        <f t="shared" si="12"/>
        <v>0.33207245325058249</v>
      </c>
      <c r="D28" s="42">
        <f t="shared" si="9"/>
        <v>0.24995149714803383</v>
      </c>
      <c r="E28" s="42">
        <f t="shared" si="10"/>
        <v>0.27394610638226308</v>
      </c>
      <c r="F28" s="42">
        <f t="shared" si="13"/>
        <v>0.34678884130071669</v>
      </c>
      <c r="G28" s="42">
        <f t="shared" si="11"/>
        <v>0.41381841604033925</v>
      </c>
      <c r="H28" s="44">
        <f t="shared" si="14"/>
        <v>0.32440531891859298</v>
      </c>
    </row>
    <row r="29" spans="2:16" x14ac:dyDescent="0.25">
      <c r="B29" s="17" t="s">
        <v>8</v>
      </c>
      <c r="C29" s="45">
        <f t="shared" si="12"/>
        <v>0.28549354530570065</v>
      </c>
      <c r="D29" s="45">
        <f t="shared" si="9"/>
        <v>0.41410778211085419</v>
      </c>
      <c r="E29" s="45">
        <f t="shared" si="10"/>
        <v>0.40459680063370018</v>
      </c>
      <c r="F29" s="45">
        <f t="shared" si="13"/>
        <v>0.44499270128025886</v>
      </c>
      <c r="G29" s="45">
        <f t="shared" si="11"/>
        <v>0.44007219318265722</v>
      </c>
      <c r="H29" s="45">
        <f t="shared" si="14"/>
        <v>0.38564870420243152</v>
      </c>
    </row>
    <row r="30" spans="2:16" ht="15" customHeight="1" x14ac:dyDescent="0.25">
      <c r="B30" s="718" t="s">
        <v>376</v>
      </c>
      <c r="C30" s="718"/>
      <c r="D30" s="718"/>
      <c r="E30" s="718"/>
      <c r="F30" s="718"/>
      <c r="G30" s="718"/>
      <c r="H30" s="718"/>
    </row>
    <row r="31" spans="2:16" x14ac:dyDescent="0.25">
      <c r="B31" s="644" t="s">
        <v>657</v>
      </c>
      <c r="C31" s="644"/>
      <c r="D31" s="644"/>
      <c r="E31" s="644"/>
      <c r="F31" s="644"/>
      <c r="G31" s="644"/>
      <c r="H31" s="644"/>
    </row>
    <row r="32" spans="2:16" ht="15.75" thickBot="1" x14ac:dyDescent="0.3">
      <c r="B32" s="7"/>
      <c r="C32" s="12" t="s">
        <v>67</v>
      </c>
      <c r="D32" s="12" t="s">
        <v>68</v>
      </c>
      <c r="E32" s="12" t="s">
        <v>69</v>
      </c>
      <c r="F32" s="12" t="s">
        <v>70</v>
      </c>
      <c r="G32" s="12" t="s">
        <v>71</v>
      </c>
      <c r="H32" s="12" t="s">
        <v>8</v>
      </c>
    </row>
    <row r="33" spans="2:8" ht="15.75" thickTop="1" x14ac:dyDescent="0.25">
      <c r="B33" s="18" t="s">
        <v>5</v>
      </c>
      <c r="C33" s="42">
        <f>C16/K16</f>
        <v>0.21667738501260259</v>
      </c>
      <c r="D33" s="42">
        <f t="shared" ref="D33:H33" si="15">D16/L16</f>
        <v>0.42065655886115266</v>
      </c>
      <c r="E33" s="42">
        <f t="shared" si="15"/>
        <v>0.41624330287874334</v>
      </c>
      <c r="F33" s="42">
        <f t="shared" si="15"/>
        <v>0.43664625702010573</v>
      </c>
      <c r="G33" s="42">
        <f t="shared" si="15"/>
        <v>0.38767983951257823</v>
      </c>
      <c r="H33" s="44">
        <f t="shared" si="15"/>
        <v>0.39254758757212382</v>
      </c>
    </row>
    <row r="34" spans="2:8" x14ac:dyDescent="0.25">
      <c r="B34" s="18" t="s">
        <v>51</v>
      </c>
      <c r="C34" s="42">
        <f>C17/K17</f>
        <v>0.28204366629534705</v>
      </c>
      <c r="D34" s="42">
        <f t="shared" ref="D34:D37" si="16">D17/L17</f>
        <v>0.46098603842737385</v>
      </c>
      <c r="E34" s="42">
        <f t="shared" ref="E34:E37" si="17">E17/M17</f>
        <v>0.45502393889078036</v>
      </c>
      <c r="F34" s="42">
        <f t="shared" ref="F34:F37" si="18">F17/N17</f>
        <v>0.51620940828806505</v>
      </c>
      <c r="G34" s="42">
        <f t="shared" ref="G34:G37" si="19">G17/O17</f>
        <v>0.49712758967557635</v>
      </c>
      <c r="H34" s="44">
        <f t="shared" ref="H34:H37" si="20">H17/P17</f>
        <v>0.4037073568906886</v>
      </c>
    </row>
    <row r="35" spans="2:8" x14ac:dyDescent="0.25">
      <c r="B35" s="18" t="s">
        <v>6</v>
      </c>
      <c r="C35" s="42">
        <f t="shared" ref="C35:C37" si="21">C18/K18</f>
        <v>0.30827483134354178</v>
      </c>
      <c r="D35" s="42">
        <f t="shared" si="16"/>
        <v>0.44480319345368302</v>
      </c>
      <c r="E35" s="42">
        <f t="shared" si="17"/>
        <v>0.44459501068121021</v>
      </c>
      <c r="F35" s="42">
        <f t="shared" si="18"/>
        <v>0.40373882978154818</v>
      </c>
      <c r="G35" s="42">
        <f t="shared" si="19"/>
        <v>0.41047152298159634</v>
      </c>
      <c r="H35" s="44">
        <f t="shared" si="20"/>
        <v>0.41333750783632989</v>
      </c>
    </row>
    <row r="36" spans="2:8" x14ac:dyDescent="0.25">
      <c r="B36" s="18" t="s">
        <v>7</v>
      </c>
      <c r="C36" s="42">
        <f t="shared" si="21"/>
        <v>0.36111760392751224</v>
      </c>
      <c r="D36" s="42">
        <f t="shared" si="16"/>
        <v>0.27295031475038284</v>
      </c>
      <c r="E36" s="42">
        <f t="shared" si="17"/>
        <v>0.2864964408026382</v>
      </c>
      <c r="F36" s="42">
        <f t="shared" si="18"/>
        <v>0.3562209356041004</v>
      </c>
      <c r="G36" s="42">
        <f t="shared" si="19"/>
        <v>0.42026456141512647</v>
      </c>
      <c r="H36" s="44">
        <f t="shared" si="20"/>
        <v>0.34147083021881419</v>
      </c>
    </row>
    <row r="37" spans="2:8" x14ac:dyDescent="0.25">
      <c r="B37" s="17" t="s">
        <v>8</v>
      </c>
      <c r="C37" s="45">
        <f t="shared" si="21"/>
        <v>0.28465479538595012</v>
      </c>
      <c r="D37" s="45">
        <f t="shared" si="16"/>
        <v>0.4087467881472055</v>
      </c>
      <c r="E37" s="45">
        <f t="shared" si="17"/>
        <v>0.39378304772217437</v>
      </c>
      <c r="F37" s="45">
        <f t="shared" si="18"/>
        <v>0.42391345182264784</v>
      </c>
      <c r="G37" s="45">
        <f t="shared" si="19"/>
        <v>0.43082507705548712</v>
      </c>
      <c r="H37" s="45">
        <f t="shared" si="20"/>
        <v>0.3830004232201395</v>
      </c>
    </row>
    <row r="39" spans="2:8" x14ac:dyDescent="0.25">
      <c r="B39" s="202" t="s">
        <v>650</v>
      </c>
      <c r="C39" s="204"/>
      <c r="D39" s="204"/>
      <c r="E39" s="204"/>
      <c r="F39" s="204"/>
    </row>
    <row r="40" spans="2:8" x14ac:dyDescent="0.25">
      <c r="D40" s="204"/>
      <c r="E40" s="204"/>
      <c r="F40" s="204"/>
    </row>
    <row r="41" spans="2:8" x14ac:dyDescent="0.25">
      <c r="D41" s="204"/>
      <c r="E41" s="204"/>
      <c r="F41" s="204"/>
    </row>
    <row r="42" spans="2:8" x14ac:dyDescent="0.25">
      <c r="B42" s="204"/>
      <c r="C42" s="204"/>
      <c r="D42" s="204"/>
      <c r="E42" s="204"/>
      <c r="F42" s="204"/>
    </row>
    <row r="43" spans="2:8" x14ac:dyDescent="0.25">
      <c r="B43" s="204"/>
      <c r="C43" s="204"/>
      <c r="D43" s="204"/>
      <c r="E43" s="204"/>
      <c r="F43" s="204"/>
    </row>
    <row r="44" spans="2:8" x14ac:dyDescent="0.25">
      <c r="B44" s="204"/>
      <c r="C44" s="204"/>
      <c r="D44" s="204"/>
      <c r="E44" s="204"/>
      <c r="F44" s="204"/>
    </row>
    <row r="45" spans="2:8" x14ac:dyDescent="0.25">
      <c r="B45" s="204"/>
      <c r="C45" s="204"/>
      <c r="D45" s="204"/>
      <c r="E45" s="204"/>
      <c r="F45" s="204"/>
    </row>
    <row r="46" spans="2:8" x14ac:dyDescent="0.25">
      <c r="B46" s="204"/>
      <c r="C46" s="204"/>
      <c r="D46" s="204"/>
      <c r="E46" s="204"/>
      <c r="F46" s="204"/>
    </row>
    <row r="47" spans="2:8" x14ac:dyDescent="0.25">
      <c r="B47" s="204"/>
      <c r="C47" s="204"/>
      <c r="D47" s="204"/>
      <c r="E47" s="204"/>
      <c r="F47" s="204"/>
    </row>
    <row r="48" spans="2:8" x14ac:dyDescent="0.25">
      <c r="B48" s="204"/>
      <c r="C48" s="204"/>
      <c r="D48" s="204"/>
      <c r="E48" s="204"/>
      <c r="F48" s="204"/>
    </row>
    <row r="49" spans="2:6" x14ac:dyDescent="0.25">
      <c r="B49" s="204"/>
      <c r="C49" s="204"/>
      <c r="D49" s="204"/>
      <c r="E49" s="204"/>
      <c r="F49" s="204"/>
    </row>
    <row r="50" spans="2:6" x14ac:dyDescent="0.25">
      <c r="B50" s="204"/>
      <c r="C50" s="204"/>
      <c r="D50" s="204"/>
      <c r="E50" s="204"/>
      <c r="F50" s="204"/>
    </row>
    <row r="53" spans="2:6" x14ac:dyDescent="0.25">
      <c r="B53" s="121"/>
      <c r="C53" s="121"/>
    </row>
    <row r="54" spans="2:6" x14ac:dyDescent="0.25">
      <c r="B54" s="121"/>
      <c r="C54" s="121"/>
    </row>
    <row r="55" spans="2:6" x14ac:dyDescent="0.25">
      <c r="B55" s="121"/>
      <c r="C55" s="121"/>
    </row>
    <row r="56" spans="2:6" x14ac:dyDescent="0.25">
      <c r="B56" s="121"/>
      <c r="C56" s="121"/>
    </row>
    <row r="57" spans="2:6" x14ac:dyDescent="0.25">
      <c r="B57" s="121"/>
      <c r="C57" s="121"/>
    </row>
    <row r="58" spans="2:6" x14ac:dyDescent="0.25">
      <c r="B58" s="204"/>
      <c r="C58" s="121"/>
    </row>
    <row r="59" spans="2:6" x14ac:dyDescent="0.25">
      <c r="B59" s="204"/>
    </row>
    <row r="60" spans="2:6" x14ac:dyDescent="0.25">
      <c r="B60" s="204"/>
      <c r="C60" s="121"/>
      <c r="D60" s="121"/>
      <c r="E60" s="121"/>
    </row>
    <row r="61" spans="2:6" x14ac:dyDescent="0.25">
      <c r="B61" s="204"/>
      <c r="C61" s="121"/>
      <c r="D61" s="121"/>
      <c r="E61" s="121"/>
      <c r="F61" s="121"/>
    </row>
    <row r="62" spans="2:6" x14ac:dyDescent="0.25">
      <c r="B62" s="204"/>
      <c r="C62" s="121"/>
      <c r="D62" s="121"/>
      <c r="E62" s="121"/>
      <c r="F62" s="121"/>
    </row>
    <row r="63" spans="2:6" x14ac:dyDescent="0.25">
      <c r="B63" s="204"/>
      <c r="C63" s="121"/>
      <c r="D63" s="121"/>
      <c r="E63" s="121"/>
      <c r="F63" s="121"/>
    </row>
    <row r="64" spans="2:6" x14ac:dyDescent="0.25">
      <c r="B64" s="204"/>
      <c r="C64" s="121"/>
      <c r="D64" s="121"/>
      <c r="E64" s="121"/>
      <c r="F64" s="121"/>
    </row>
    <row r="65" spans="2:6" x14ac:dyDescent="0.25">
      <c r="B65" s="204"/>
      <c r="C65" s="132"/>
      <c r="D65" s="132"/>
      <c r="E65" s="132"/>
      <c r="F65" s="121"/>
    </row>
    <row r="66" spans="2:6" x14ac:dyDescent="0.25">
      <c r="B66" s="204"/>
    </row>
    <row r="67" spans="2:6" x14ac:dyDescent="0.25">
      <c r="B67" s="204"/>
    </row>
    <row r="68" spans="2:6" x14ac:dyDescent="0.25">
      <c r="B68" s="204"/>
    </row>
    <row r="69" spans="2:6" x14ac:dyDescent="0.25">
      <c r="B69" s="204"/>
    </row>
    <row r="71" spans="2:6" x14ac:dyDescent="0.25">
      <c r="D71" s="121"/>
    </row>
    <row r="72" spans="2:6" x14ac:dyDescent="0.25">
      <c r="D72" s="121"/>
    </row>
    <row r="73" spans="2:6" x14ac:dyDescent="0.25">
      <c r="D73" s="121"/>
    </row>
    <row r="74" spans="2:6" x14ac:dyDescent="0.25">
      <c r="D74" s="121"/>
    </row>
    <row r="75" spans="2:6" x14ac:dyDescent="0.25">
      <c r="D75" s="121"/>
    </row>
    <row r="76" spans="2:6" x14ac:dyDescent="0.25">
      <c r="D76" s="121"/>
    </row>
    <row r="77" spans="2:6" x14ac:dyDescent="0.25">
      <c r="D77" s="121"/>
    </row>
    <row r="78" spans="2:6" x14ac:dyDescent="0.25">
      <c r="D78" s="121"/>
    </row>
  </sheetData>
  <sheetProtection password="C69F" sheet="1" objects="1" scenarios="1"/>
  <mergeCells count="8">
    <mergeCell ref="B31:H31"/>
    <mergeCell ref="B6:H6"/>
    <mergeCell ref="B14:H14"/>
    <mergeCell ref="J6:P6"/>
    <mergeCell ref="J14:P14"/>
    <mergeCell ref="B23:H23"/>
    <mergeCell ref="B30:H30"/>
    <mergeCell ref="B22:H22"/>
  </mergeCells>
  <hyperlinks>
    <hyperlink ref="A1" location="ÍNDICE!A1" display="ÍNDICE"/>
  </hyperlinks>
  <pageMargins left="0.7" right="0.7" top="0.75" bottom="0.75" header="0.3" footer="0.3"/>
  <pageSetup orientation="portrait" horizontalDpi="4294967293" verticalDpi="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P39"/>
  <sheetViews>
    <sheetView zoomScale="90" zoomScaleNormal="90" workbookViewId="0"/>
  </sheetViews>
  <sheetFormatPr baseColWidth="10" defaultRowHeight="15" x14ac:dyDescent="0.25"/>
  <cols>
    <col min="3" max="4" width="11.42578125" customWidth="1"/>
    <col min="5" max="5" width="25.28515625" customWidth="1"/>
    <col min="6" max="6" width="16.7109375" customWidth="1"/>
    <col min="11" max="12" width="11.42578125" customWidth="1"/>
    <col min="13" max="13" width="25.28515625" customWidth="1"/>
    <col min="14" max="14" width="16.7109375" customWidth="1"/>
  </cols>
  <sheetData>
    <row r="1" spans="1:16" s="54" customFormat="1" x14ac:dyDescent="0.25">
      <c r="A1" s="59" t="s">
        <v>132</v>
      </c>
    </row>
    <row r="2" spans="1:16" x14ac:dyDescent="0.25">
      <c r="A2" s="1" t="s">
        <v>587</v>
      </c>
    </row>
    <row r="3" spans="1:16" x14ac:dyDescent="0.25">
      <c r="A3" s="1"/>
    </row>
    <row r="4" spans="1:16" x14ac:dyDescent="0.25">
      <c r="A4" s="58" t="s">
        <v>103</v>
      </c>
      <c r="B4" t="s">
        <v>588</v>
      </c>
    </row>
    <row r="6" spans="1:16" x14ac:dyDescent="0.25">
      <c r="B6" s="644" t="s">
        <v>660</v>
      </c>
      <c r="C6" s="644"/>
      <c r="D6" s="644"/>
      <c r="E6" s="644"/>
      <c r="F6" s="644"/>
      <c r="G6" s="644"/>
      <c r="H6" s="644"/>
      <c r="J6" s="644" t="s">
        <v>662</v>
      </c>
      <c r="K6" s="644"/>
      <c r="L6" s="644"/>
      <c r="M6" s="644"/>
      <c r="N6" s="644"/>
      <c r="O6" s="644"/>
      <c r="P6" s="644"/>
    </row>
    <row r="7" spans="1:16" ht="15.75" thickBot="1" x14ac:dyDescent="0.3">
      <c r="B7" s="7"/>
      <c r="C7" s="12" t="s">
        <v>67</v>
      </c>
      <c r="D7" s="12" t="s">
        <v>68</v>
      </c>
      <c r="E7" s="12" t="s">
        <v>69</v>
      </c>
      <c r="F7" s="12" t="s">
        <v>70</v>
      </c>
      <c r="G7" s="12" t="s">
        <v>71</v>
      </c>
      <c r="H7" s="12" t="s">
        <v>8</v>
      </c>
      <c r="J7" s="7"/>
      <c r="K7" s="12" t="s">
        <v>67</v>
      </c>
      <c r="L7" s="12" t="s">
        <v>68</v>
      </c>
      <c r="M7" s="12" t="s">
        <v>69</v>
      </c>
      <c r="N7" s="12" t="s">
        <v>70</v>
      </c>
      <c r="O7" s="12" t="s">
        <v>71</v>
      </c>
      <c r="P7" s="12" t="s">
        <v>8</v>
      </c>
    </row>
    <row r="8" spans="1:16" ht="15.75" thickTop="1" x14ac:dyDescent="0.25">
      <c r="B8" s="18" t="s">
        <v>5</v>
      </c>
      <c r="C8" s="167">
        <v>40.541663999999997</v>
      </c>
      <c r="D8" s="167">
        <v>118.22920000000001</v>
      </c>
      <c r="E8" s="167">
        <v>185</v>
      </c>
      <c r="F8" s="167">
        <v>49.5</v>
      </c>
      <c r="G8" s="167">
        <v>6.6666660000000002</v>
      </c>
      <c r="H8" s="19">
        <f>SUM(C8:G8)</f>
        <v>399.93753000000004</v>
      </c>
      <c r="J8" s="18" t="s">
        <v>5</v>
      </c>
      <c r="K8" s="167">
        <v>184.45832100000001</v>
      </c>
      <c r="L8" s="167">
        <v>259.93747100000002</v>
      </c>
      <c r="M8" s="167">
        <v>509.49996299999998</v>
      </c>
      <c r="N8" s="167">
        <v>84.583332999999996</v>
      </c>
      <c r="O8" s="167">
        <v>21.583331999999999</v>
      </c>
      <c r="P8" s="19">
        <f>SUM(K8:O8)</f>
        <v>1060.06242</v>
      </c>
    </row>
    <row r="9" spans="1:16" x14ac:dyDescent="0.25">
      <c r="B9" s="18" t="s">
        <v>51</v>
      </c>
      <c r="C9" s="167">
        <v>1364.2707339999999</v>
      </c>
      <c r="D9" s="167">
        <v>539.45830000000001</v>
      </c>
      <c r="E9" s="167">
        <v>392.875</v>
      </c>
      <c r="F9" s="167">
        <v>5.3333320000000004</v>
      </c>
      <c r="G9" s="167">
        <v>24.72916</v>
      </c>
      <c r="H9" s="50">
        <f t="shared" ref="H9:H11" si="0">SUM(C9:G9)</f>
        <v>2326.666526</v>
      </c>
      <c r="J9" s="18" t="s">
        <v>51</v>
      </c>
      <c r="K9" s="167">
        <v>4839.4372270000003</v>
      </c>
      <c r="L9" s="167">
        <v>1173.2082190000001</v>
      </c>
      <c r="M9" s="167">
        <v>1073.8957519999999</v>
      </c>
      <c r="N9" s="167">
        <v>9.8749979999999997</v>
      </c>
      <c r="O9" s="167">
        <v>46.770826999999997</v>
      </c>
      <c r="P9" s="50">
        <f t="shared" ref="P9:P11" si="1">SUM(K9:O9)</f>
        <v>7143.1870230000013</v>
      </c>
    </row>
    <row r="10" spans="1:16" x14ac:dyDescent="0.25">
      <c r="B10" s="18" t="s">
        <v>6</v>
      </c>
      <c r="C10" s="167">
        <v>65.312494999999998</v>
      </c>
      <c r="D10" s="167">
        <v>42.16666</v>
      </c>
      <c r="E10" s="167">
        <v>187.10419999999999</v>
      </c>
      <c r="F10" s="167">
        <v>50.499999000000003</v>
      </c>
      <c r="G10" s="167">
        <v>0.81249899999999997</v>
      </c>
      <c r="H10" s="50">
        <f t="shared" si="0"/>
        <v>345.89585299999999</v>
      </c>
      <c r="J10" s="18" t="s">
        <v>6</v>
      </c>
      <c r="K10" s="167">
        <v>227.66664800000001</v>
      </c>
      <c r="L10" s="167">
        <v>112.687488</v>
      </c>
      <c r="M10" s="167">
        <v>492.562456</v>
      </c>
      <c r="N10" s="167">
        <v>157.41666499999999</v>
      </c>
      <c r="O10" s="167">
        <v>4.0624950000000002</v>
      </c>
      <c r="P10" s="50">
        <f t="shared" si="1"/>
        <v>994.39575200000002</v>
      </c>
    </row>
    <row r="11" spans="1:16" x14ac:dyDescent="0.25">
      <c r="B11" s="18" t="s">
        <v>7</v>
      </c>
      <c r="C11" s="167">
        <v>65.374990999999994</v>
      </c>
      <c r="D11" s="167">
        <v>115.33329999999999</v>
      </c>
      <c r="E11" s="167">
        <v>534.16660000000002</v>
      </c>
      <c r="F11" s="167">
        <v>66.041663999999997</v>
      </c>
      <c r="G11" s="167">
        <v>18.08333</v>
      </c>
      <c r="H11" s="50">
        <f t="shared" si="0"/>
        <v>798.99988499999995</v>
      </c>
      <c r="J11" s="18" t="s">
        <v>7</v>
      </c>
      <c r="K11" s="167">
        <v>199.624979</v>
      </c>
      <c r="L11" s="167">
        <v>425.81247500000001</v>
      </c>
      <c r="M11" s="167">
        <v>2113.770755</v>
      </c>
      <c r="N11" s="167">
        <v>229.60416000000001</v>
      </c>
      <c r="O11" s="167">
        <v>93.958331000000001</v>
      </c>
      <c r="P11" s="50">
        <f t="shared" si="1"/>
        <v>3062.7706999999996</v>
      </c>
    </row>
    <row r="12" spans="1:16" x14ac:dyDescent="0.25">
      <c r="B12" s="17" t="s">
        <v>8</v>
      </c>
      <c r="C12" s="168">
        <f>SUM(C8:C11)</f>
        <v>1535.4998839999998</v>
      </c>
      <c r="D12" s="168">
        <f t="shared" ref="D12:H12" si="2">SUM(D8:D11)</f>
        <v>815.18745999999999</v>
      </c>
      <c r="E12" s="168">
        <f t="shared" si="2"/>
        <v>1299.1458</v>
      </c>
      <c r="F12" s="168">
        <f t="shared" si="2"/>
        <v>171.37499500000001</v>
      </c>
      <c r="G12" s="168">
        <f t="shared" si="2"/>
        <v>50.291655000000006</v>
      </c>
      <c r="H12" s="168">
        <f t="shared" si="2"/>
        <v>3871.4997940000003</v>
      </c>
      <c r="J12" s="17" t="s">
        <v>8</v>
      </c>
      <c r="K12" s="20">
        <f>SUM(K8:K11)</f>
        <v>5451.1871750000009</v>
      </c>
      <c r="L12" s="168">
        <f t="shared" ref="L12:P12" si="3">SUM(L8:L11)</f>
        <v>1971.645653</v>
      </c>
      <c r="M12" s="168">
        <f t="shared" si="3"/>
        <v>4189.7289259999998</v>
      </c>
      <c r="N12" s="168">
        <f t="shared" si="3"/>
        <v>481.47915599999999</v>
      </c>
      <c r="O12" s="168">
        <f t="shared" si="3"/>
        <v>166.37498499999998</v>
      </c>
      <c r="P12" s="168">
        <f t="shared" si="3"/>
        <v>12260.415895</v>
      </c>
    </row>
    <row r="13" spans="1:16" x14ac:dyDescent="0.25">
      <c r="J13" s="46"/>
      <c r="K13" s="46"/>
      <c r="L13" s="46"/>
      <c r="M13" s="46"/>
      <c r="N13" s="46"/>
      <c r="O13" s="46"/>
      <c r="P13" s="46"/>
    </row>
    <row r="14" spans="1:16" x14ac:dyDescent="0.25">
      <c r="B14" s="644" t="s">
        <v>661</v>
      </c>
      <c r="C14" s="644"/>
      <c r="D14" s="644"/>
      <c r="E14" s="644"/>
      <c r="F14" s="644"/>
      <c r="G14" s="644"/>
      <c r="H14" s="644"/>
      <c r="J14" s="644" t="s">
        <v>663</v>
      </c>
      <c r="K14" s="644"/>
      <c r="L14" s="644"/>
      <c r="M14" s="644"/>
      <c r="N14" s="644"/>
      <c r="O14" s="644"/>
      <c r="P14" s="644"/>
    </row>
    <row r="15" spans="1:16" ht="15.75" thickBot="1" x14ac:dyDescent="0.3">
      <c r="B15" s="7"/>
      <c r="C15" s="12" t="s">
        <v>67</v>
      </c>
      <c r="D15" s="12" t="s">
        <v>68</v>
      </c>
      <c r="E15" s="12" t="s">
        <v>69</v>
      </c>
      <c r="F15" s="12" t="s">
        <v>70</v>
      </c>
      <c r="G15" s="12" t="s">
        <v>71</v>
      </c>
      <c r="H15" s="12" t="s">
        <v>8</v>
      </c>
      <c r="J15" s="7"/>
      <c r="K15" s="12" t="s">
        <v>67</v>
      </c>
      <c r="L15" s="12" t="s">
        <v>68</v>
      </c>
      <c r="M15" s="12" t="s">
        <v>69</v>
      </c>
      <c r="N15" s="12" t="s">
        <v>70</v>
      </c>
      <c r="O15" s="12" t="s">
        <v>71</v>
      </c>
      <c r="P15" s="12" t="s">
        <v>8</v>
      </c>
    </row>
    <row r="16" spans="1:16" ht="15.75" thickTop="1" x14ac:dyDescent="0.25">
      <c r="B16" s="18" t="s">
        <v>5</v>
      </c>
      <c r="C16" s="167">
        <v>32.452500000000001</v>
      </c>
      <c r="D16" s="167">
        <v>82.349029999999999</v>
      </c>
      <c r="E16" s="167">
        <v>121.6035</v>
      </c>
      <c r="F16" s="167">
        <v>41.8</v>
      </c>
      <c r="G16" s="167">
        <v>6.5416660000000002</v>
      </c>
      <c r="H16" s="19">
        <f>SUM(C16:G16)</f>
        <v>284.74669600000004</v>
      </c>
      <c r="J16" s="18" t="s">
        <v>5</v>
      </c>
      <c r="K16" s="167">
        <v>157.403322</v>
      </c>
      <c r="L16" s="167">
        <v>194.21470099999999</v>
      </c>
      <c r="M16" s="167">
        <v>329.68830300000002</v>
      </c>
      <c r="N16" s="167">
        <v>66.133332999999993</v>
      </c>
      <c r="O16" s="167">
        <v>21.458331999999999</v>
      </c>
      <c r="P16" s="19">
        <f>SUM(K16:O16)</f>
        <v>768.89799100000005</v>
      </c>
    </row>
    <row r="17" spans="2:16" x14ac:dyDescent="0.25">
      <c r="B17" s="18" t="s">
        <v>51</v>
      </c>
      <c r="C17" s="167">
        <v>675.61350000000004</v>
      </c>
      <c r="D17" s="167">
        <v>232.64279999999999</v>
      </c>
      <c r="E17" s="167">
        <v>241.74950000000001</v>
      </c>
      <c r="F17" s="167">
        <v>3.5099990000000001</v>
      </c>
      <c r="G17" s="167">
        <v>12.203329999999999</v>
      </c>
      <c r="H17" s="50">
        <f t="shared" ref="H17:H19" si="4">SUM(C17:G17)</f>
        <v>1165.7191290000001</v>
      </c>
      <c r="J17" s="18" t="s">
        <v>51</v>
      </c>
      <c r="K17" s="167">
        <v>2419.1571549999999</v>
      </c>
      <c r="L17" s="167">
        <v>510.06429300000002</v>
      </c>
      <c r="M17" s="167">
        <v>639.51291300000003</v>
      </c>
      <c r="N17" s="167">
        <v>6.3516649999999997</v>
      </c>
      <c r="O17" s="167">
        <v>25.316593000000001</v>
      </c>
      <c r="P17" s="50">
        <f t="shared" ref="P17:P19" si="5">SUM(K17:O17)</f>
        <v>3600.402619</v>
      </c>
    </row>
    <row r="18" spans="2:16" x14ac:dyDescent="0.25">
      <c r="B18" s="18" t="s">
        <v>6</v>
      </c>
      <c r="C18" s="167">
        <v>64.229159999999993</v>
      </c>
      <c r="D18" s="167">
        <v>39.017490000000002</v>
      </c>
      <c r="E18" s="167">
        <v>175.64959999999999</v>
      </c>
      <c r="F18" s="167">
        <v>48.612499999999997</v>
      </c>
      <c r="G18" s="167">
        <v>0.81249899999999997</v>
      </c>
      <c r="H18" s="50">
        <f t="shared" si="4"/>
        <v>328.32124900000002</v>
      </c>
      <c r="J18" s="18" t="s">
        <v>6</v>
      </c>
      <c r="K18" s="167">
        <v>214.77540099999999</v>
      </c>
      <c r="L18" s="167">
        <v>98.066322999999997</v>
      </c>
      <c r="M18" s="167">
        <v>442.84537399999999</v>
      </c>
      <c r="N18" s="167">
        <v>155.52916500000001</v>
      </c>
      <c r="O18" s="167">
        <v>4.0624950000000002</v>
      </c>
      <c r="P18" s="50">
        <f t="shared" si="5"/>
        <v>915.27875800000004</v>
      </c>
    </row>
    <row r="19" spans="2:16" x14ac:dyDescent="0.25">
      <c r="B19" s="18" t="s">
        <v>7</v>
      </c>
      <c r="C19" s="167">
        <v>55.39499</v>
      </c>
      <c r="D19" s="167">
        <v>87.775620000000004</v>
      </c>
      <c r="E19" s="167">
        <v>406.25409999999999</v>
      </c>
      <c r="F19" s="167">
        <v>50.223329999999997</v>
      </c>
      <c r="G19" s="167">
        <v>16.928329999999999</v>
      </c>
      <c r="H19" s="50">
        <f t="shared" si="4"/>
        <v>616.57637</v>
      </c>
      <c r="J19" s="18" t="s">
        <v>7</v>
      </c>
      <c r="K19" s="167">
        <v>155.746073</v>
      </c>
      <c r="L19" s="167">
        <v>306.89418899999998</v>
      </c>
      <c r="M19" s="167">
        <v>1542.515234</v>
      </c>
      <c r="N19" s="167">
        <v>171.94465199999999</v>
      </c>
      <c r="O19" s="167">
        <v>87.440832</v>
      </c>
      <c r="P19" s="50">
        <f t="shared" si="5"/>
        <v>2264.5409799999998</v>
      </c>
    </row>
    <row r="20" spans="2:16" x14ac:dyDescent="0.25">
      <c r="B20" s="17" t="s">
        <v>8</v>
      </c>
      <c r="C20" s="20">
        <f>SUM(C16:C19)</f>
        <v>827.69015000000002</v>
      </c>
      <c r="D20" s="168">
        <f t="shared" ref="D20:G20" si="6">SUM(D16:D19)</f>
        <v>441.78494000000001</v>
      </c>
      <c r="E20" s="168">
        <f>SUM(E16:E19)</f>
        <v>945.25670000000002</v>
      </c>
      <c r="F20" s="168">
        <f t="shared" si="6"/>
        <v>144.14582899999999</v>
      </c>
      <c r="G20" s="168">
        <f t="shared" si="6"/>
        <v>36.485824999999998</v>
      </c>
      <c r="H20" s="168">
        <f>SUM(H16:H19)</f>
        <v>2395.3634440000005</v>
      </c>
      <c r="J20" s="17" t="s">
        <v>8</v>
      </c>
      <c r="K20" s="20">
        <f>SUM(K16:K19)</f>
        <v>2947.0819509999997</v>
      </c>
      <c r="L20" s="168">
        <f t="shared" ref="L20:P20" si="7">SUM(L16:L19)</f>
        <v>1109.2395059999999</v>
      </c>
      <c r="M20" s="168">
        <f t="shared" si="7"/>
        <v>2954.5618239999999</v>
      </c>
      <c r="N20" s="168">
        <f t="shared" si="7"/>
        <v>399.95881499999996</v>
      </c>
      <c r="O20" s="168">
        <f t="shared" si="7"/>
        <v>138.27825200000001</v>
      </c>
      <c r="P20" s="168">
        <f t="shared" si="7"/>
        <v>7549.1203480000004</v>
      </c>
    </row>
    <row r="21" spans="2:16" x14ac:dyDescent="0.25">
      <c r="B21" s="1"/>
    </row>
    <row r="23" spans="2:16" x14ac:dyDescent="0.25">
      <c r="B23" s="644" t="s">
        <v>660</v>
      </c>
      <c r="C23" s="644"/>
      <c r="D23" s="644"/>
      <c r="E23" s="644"/>
      <c r="F23" s="644"/>
      <c r="G23" s="644"/>
      <c r="H23" s="644"/>
    </row>
    <row r="24" spans="2:16" ht="15.75" thickBot="1" x14ac:dyDescent="0.3">
      <c r="B24" s="7"/>
      <c r="C24" s="12" t="s">
        <v>67</v>
      </c>
      <c r="D24" s="12" t="s">
        <v>68</v>
      </c>
      <c r="E24" s="12" t="s">
        <v>69</v>
      </c>
      <c r="F24" s="12" t="s">
        <v>70</v>
      </c>
      <c r="G24" s="12" t="s">
        <v>71</v>
      </c>
      <c r="H24" s="12" t="s">
        <v>8</v>
      </c>
    </row>
    <row r="25" spans="2:16" ht="15.75" thickTop="1" x14ac:dyDescent="0.25">
      <c r="B25" s="18" t="s">
        <v>5</v>
      </c>
      <c r="C25" s="42">
        <f>C8/K8</f>
        <v>0.21978766683016698</v>
      </c>
      <c r="D25" s="42">
        <f t="shared" ref="D25:H25" si="8">D8/L8</f>
        <v>0.45483707887578856</v>
      </c>
      <c r="E25" s="42">
        <f t="shared" si="8"/>
        <v>0.36310110585817651</v>
      </c>
      <c r="F25" s="42">
        <f t="shared" si="8"/>
        <v>0.58522167718313967</v>
      </c>
      <c r="G25" s="42">
        <f t="shared" si="8"/>
        <v>0.30888029707368636</v>
      </c>
      <c r="H25" s="44">
        <f t="shared" si="8"/>
        <v>0.37727733995135876</v>
      </c>
    </row>
    <row r="26" spans="2:16" x14ac:dyDescent="0.25">
      <c r="B26" s="18" t="s">
        <v>51</v>
      </c>
      <c r="C26" s="42">
        <f t="shared" ref="C26:C29" si="9">C9/K9</f>
        <v>0.28190689743603115</v>
      </c>
      <c r="D26" s="42">
        <f t="shared" ref="D26:D29" si="10">D9/L9</f>
        <v>0.45981462733001871</v>
      </c>
      <c r="E26" s="42">
        <f t="shared" ref="E26:E29" si="11">E9/M9</f>
        <v>0.36584091078516534</v>
      </c>
      <c r="F26" s="42">
        <f t="shared" ref="F26:F29" si="12">F9/N9</f>
        <v>0.54008436254873171</v>
      </c>
      <c r="G26" s="42">
        <f t="shared" ref="G26:G29" si="13">G9/O9</f>
        <v>0.52873044130692837</v>
      </c>
      <c r="H26" s="44">
        <f t="shared" ref="H26:H29" si="14">H9/P9</f>
        <v>0.32571827092143596</v>
      </c>
    </row>
    <row r="27" spans="2:16" x14ac:dyDescent="0.25">
      <c r="B27" s="18" t="s">
        <v>6</v>
      </c>
      <c r="C27" s="42">
        <f t="shared" si="9"/>
        <v>0.28687774680110367</v>
      </c>
      <c r="D27" s="42">
        <f t="shared" si="10"/>
        <v>0.37419114356333866</v>
      </c>
      <c r="E27" s="42">
        <f>E10/M10</f>
        <v>0.37985883357703576</v>
      </c>
      <c r="F27" s="42">
        <f t="shared" si="12"/>
        <v>0.32080465559348498</v>
      </c>
      <c r="G27" s="42">
        <f t="shared" si="13"/>
        <v>0.19999999999999998</v>
      </c>
      <c r="H27" s="44">
        <f t="shared" si="14"/>
        <v>0.34784526412578637</v>
      </c>
    </row>
    <row r="28" spans="2:16" x14ac:dyDescent="0.25">
      <c r="B28" s="18" t="s">
        <v>7</v>
      </c>
      <c r="C28" s="42">
        <f t="shared" si="9"/>
        <v>0.3274890313200734</v>
      </c>
      <c r="D28" s="42">
        <f t="shared" si="10"/>
        <v>0.27085467611065173</v>
      </c>
      <c r="E28" s="42">
        <f t="shared" si="11"/>
        <v>0.25270791486563077</v>
      </c>
      <c r="F28" s="42">
        <f t="shared" si="12"/>
        <v>0.28763269794414875</v>
      </c>
      <c r="G28" s="42">
        <f t="shared" si="13"/>
        <v>0.19246116664205115</v>
      </c>
      <c r="H28" s="44">
        <f t="shared" si="14"/>
        <v>0.2608748624244055</v>
      </c>
    </row>
    <row r="29" spans="2:16" x14ac:dyDescent="0.25">
      <c r="B29" s="17" t="s">
        <v>8</v>
      </c>
      <c r="C29" s="45">
        <f t="shared" si="9"/>
        <v>0.28168173917088063</v>
      </c>
      <c r="D29" s="45">
        <f t="shared" si="10"/>
        <v>0.41345535834983022</v>
      </c>
      <c r="E29" s="45">
        <f t="shared" si="11"/>
        <v>0.31007872417185589</v>
      </c>
      <c r="F29" s="45">
        <f t="shared" si="12"/>
        <v>0.35593440103147478</v>
      </c>
      <c r="G29" s="45">
        <f t="shared" si="13"/>
        <v>0.30227894535948424</v>
      </c>
      <c r="H29" s="45">
        <f t="shared" si="14"/>
        <v>0.31577230553645913</v>
      </c>
    </row>
    <row r="30" spans="2:16" x14ac:dyDescent="0.25">
      <c r="B30" s="46"/>
      <c r="C30" s="46"/>
      <c r="D30" s="46"/>
      <c r="E30" s="46"/>
      <c r="F30" s="46"/>
      <c r="G30" s="46"/>
      <c r="H30" s="46"/>
    </row>
    <row r="31" spans="2:16" x14ac:dyDescent="0.25">
      <c r="B31" s="644" t="s">
        <v>661</v>
      </c>
      <c r="C31" s="644"/>
      <c r="D31" s="644"/>
      <c r="E31" s="644"/>
      <c r="F31" s="644"/>
      <c r="G31" s="644"/>
      <c r="H31" s="644"/>
    </row>
    <row r="32" spans="2:16" ht="15.75" thickBot="1" x14ac:dyDescent="0.3">
      <c r="B32" s="7"/>
      <c r="C32" s="12" t="s">
        <v>67</v>
      </c>
      <c r="D32" s="12" t="s">
        <v>68</v>
      </c>
      <c r="E32" s="12" t="s">
        <v>69</v>
      </c>
      <c r="F32" s="12" t="s">
        <v>70</v>
      </c>
      <c r="G32" s="12" t="s">
        <v>71</v>
      </c>
      <c r="H32" s="12" t="s">
        <v>8</v>
      </c>
    </row>
    <row r="33" spans="2:8" ht="15.75" thickTop="1" x14ac:dyDescent="0.25">
      <c r="B33" s="18" t="s">
        <v>5</v>
      </c>
      <c r="C33" s="42">
        <f>C16/K16</f>
        <v>0.2061741746467079</v>
      </c>
      <c r="D33" s="42">
        <f t="shared" ref="D33:G33" si="15">D16/L16</f>
        <v>0.42401028128143609</v>
      </c>
      <c r="E33" s="42">
        <f t="shared" si="15"/>
        <v>0.36884384096574996</v>
      </c>
      <c r="F33" s="42">
        <f t="shared" si="15"/>
        <v>0.63205645479867167</v>
      </c>
      <c r="G33" s="42">
        <f t="shared" si="15"/>
        <v>0.30485435680648432</v>
      </c>
      <c r="H33" s="44">
        <f>H16/P16</f>
        <v>0.37033091428639203</v>
      </c>
    </row>
    <row r="34" spans="2:8" x14ac:dyDescent="0.25">
      <c r="B34" s="18" t="s">
        <v>51</v>
      </c>
      <c r="C34" s="42">
        <f t="shared" ref="C34:C37" si="16">C17/K17</f>
        <v>0.27927639946979804</v>
      </c>
      <c r="D34" s="42">
        <f t="shared" ref="D34:D37" si="17">D17/L17</f>
        <v>0.45610485421687808</v>
      </c>
      <c r="E34" s="42">
        <f t="shared" ref="E34:E37" si="18">E17/M17</f>
        <v>0.37802129571697951</v>
      </c>
      <c r="F34" s="42">
        <f t="shared" ref="F34:F37" si="19">F17/N17</f>
        <v>0.55261085085564188</v>
      </c>
      <c r="G34" s="42">
        <f t="shared" ref="G34:G37" si="20">G17/O17</f>
        <v>0.48202892071614845</v>
      </c>
      <c r="H34" s="44">
        <f>H17/P17</f>
        <v>0.32377465865852934</v>
      </c>
    </row>
    <row r="35" spans="2:8" x14ac:dyDescent="0.25">
      <c r="B35" s="18" t="s">
        <v>6</v>
      </c>
      <c r="C35" s="42">
        <f t="shared" si="16"/>
        <v>0.29905268341228702</v>
      </c>
      <c r="D35" s="42">
        <f t="shared" si="17"/>
        <v>0.39786838953878184</v>
      </c>
      <c r="E35" s="42">
        <f t="shared" si="18"/>
        <v>0.39663866964092981</v>
      </c>
      <c r="F35" s="42">
        <f t="shared" si="19"/>
        <v>0.31256195582352669</v>
      </c>
      <c r="G35" s="42">
        <f t="shared" si="20"/>
        <v>0.19999999999999998</v>
      </c>
      <c r="H35" s="44">
        <f t="shared" ref="H35:H37" si="21">H18/P18</f>
        <v>0.35871175434839492</v>
      </c>
    </row>
    <row r="36" spans="2:8" x14ac:dyDescent="0.25">
      <c r="B36" s="18" t="s">
        <v>7</v>
      </c>
      <c r="C36" s="42">
        <f t="shared" si="16"/>
        <v>0.35567503522223642</v>
      </c>
      <c r="D36" s="42">
        <f t="shared" si="17"/>
        <v>0.28601264913491081</v>
      </c>
      <c r="E36" s="42">
        <f t="shared" si="18"/>
        <v>0.26337120765187855</v>
      </c>
      <c r="F36" s="42">
        <f t="shared" si="19"/>
        <v>0.29209009652710805</v>
      </c>
      <c r="G36" s="42">
        <f t="shared" si="20"/>
        <v>0.19359754033447438</v>
      </c>
      <c r="H36" s="44">
        <f t="shared" si="21"/>
        <v>0.2722743264288377</v>
      </c>
    </row>
    <row r="37" spans="2:8" x14ac:dyDescent="0.25">
      <c r="B37" s="17" t="s">
        <v>8</v>
      </c>
      <c r="C37" s="45">
        <f t="shared" si="16"/>
        <v>0.28085074109294766</v>
      </c>
      <c r="D37" s="45">
        <f t="shared" si="17"/>
        <v>0.39827732208448774</v>
      </c>
      <c r="E37" s="45">
        <f t="shared" si="18"/>
        <v>0.31993126436605579</v>
      </c>
      <c r="F37" s="45">
        <f t="shared" si="19"/>
        <v>0.3604016803580139</v>
      </c>
      <c r="G37" s="45">
        <f t="shared" si="20"/>
        <v>0.26385801434631961</v>
      </c>
      <c r="H37" s="45">
        <f t="shared" si="21"/>
        <v>0.31730365043585612</v>
      </c>
    </row>
    <row r="39" spans="2:8" x14ac:dyDescent="0.25">
      <c r="B39" s="202" t="s">
        <v>650</v>
      </c>
      <c r="C39" s="204"/>
      <c r="D39" s="204"/>
      <c r="E39" s="204"/>
    </row>
  </sheetData>
  <sheetProtection password="C69F" sheet="1" objects="1" scenarios="1"/>
  <mergeCells count="6">
    <mergeCell ref="B31:H31"/>
    <mergeCell ref="B6:H6"/>
    <mergeCell ref="B14:H14"/>
    <mergeCell ref="J6:P6"/>
    <mergeCell ref="J14:P14"/>
    <mergeCell ref="B23:H23"/>
  </mergeCells>
  <hyperlinks>
    <hyperlink ref="A1" location="ÍNDICE!A1" display="ÍNDICE"/>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G61"/>
  <sheetViews>
    <sheetView zoomScale="90" zoomScaleNormal="90" workbookViewId="0"/>
  </sheetViews>
  <sheetFormatPr baseColWidth="10" defaultRowHeight="15" x14ac:dyDescent="0.25"/>
  <cols>
    <col min="3" max="3" width="73" customWidth="1"/>
    <col min="4" max="4" width="16.7109375" bestFit="1" customWidth="1"/>
    <col min="5" max="5" width="15.7109375" customWidth="1"/>
    <col min="6" max="6" width="15.7109375" style="149" customWidth="1"/>
    <col min="7" max="7" width="20.7109375" style="46" customWidth="1"/>
  </cols>
  <sheetData>
    <row r="1" spans="1:7" s="54" customFormat="1" x14ac:dyDescent="0.25">
      <c r="A1" s="59" t="s">
        <v>132</v>
      </c>
      <c r="F1" s="149"/>
    </row>
    <row r="2" spans="1:7" x14ac:dyDescent="0.25">
      <c r="A2" s="1" t="s">
        <v>425</v>
      </c>
    </row>
    <row r="3" spans="1:7" x14ac:dyDescent="0.25">
      <c r="A3" s="1"/>
    </row>
    <row r="4" spans="1:7" x14ac:dyDescent="0.25">
      <c r="A4" s="58" t="s">
        <v>103</v>
      </c>
      <c r="B4" t="s">
        <v>589</v>
      </c>
    </row>
    <row r="6" spans="1:7" x14ac:dyDescent="0.25">
      <c r="B6" s="658" t="s">
        <v>664</v>
      </c>
      <c r="C6" s="644"/>
      <c r="D6" s="644"/>
      <c r="E6" s="644"/>
      <c r="F6" s="644"/>
      <c r="G6" s="644"/>
    </row>
    <row r="7" spans="1:7" s="46" customFormat="1" x14ac:dyDescent="0.25">
      <c r="B7" s="143"/>
      <c r="C7" s="165"/>
      <c r="D7" s="658" t="s">
        <v>410</v>
      </c>
      <c r="E7" s="659"/>
      <c r="F7" s="644" t="s">
        <v>127</v>
      </c>
      <c r="G7" s="659"/>
    </row>
    <row r="8" spans="1:7" ht="15.75" thickBot="1" x14ac:dyDescent="0.3">
      <c r="B8" s="194"/>
      <c r="C8" s="154"/>
      <c r="D8" s="183" t="s">
        <v>217</v>
      </c>
      <c r="E8" s="184" t="s">
        <v>9</v>
      </c>
      <c r="F8" s="160" t="s">
        <v>217</v>
      </c>
      <c r="G8" s="184" t="s">
        <v>9</v>
      </c>
    </row>
    <row r="9" spans="1:7" ht="15.75" thickTop="1" x14ac:dyDescent="0.25">
      <c r="B9" s="198" t="s">
        <v>105</v>
      </c>
      <c r="C9" s="155" t="s">
        <v>22</v>
      </c>
      <c r="D9" s="197">
        <f>21.20833+18.41666</f>
        <v>39.624989999999997</v>
      </c>
      <c r="E9" s="640">
        <f>D9/$D$28</f>
        <v>4.9593229594917472E-2</v>
      </c>
      <c r="F9" s="161">
        <v>150.39582999999999</v>
      </c>
      <c r="G9" s="185">
        <f>D9/F9</f>
        <v>0.26347133427835068</v>
      </c>
    </row>
    <row r="10" spans="1:7" x14ac:dyDescent="0.25">
      <c r="B10" s="195" t="s">
        <v>106</v>
      </c>
      <c r="C10" s="157" t="s">
        <v>23</v>
      </c>
      <c r="D10" s="189">
        <v>17.25</v>
      </c>
      <c r="E10" s="629">
        <f>D10/$D$28</f>
        <v>2.1589487101758929E-2</v>
      </c>
      <c r="F10" s="162">
        <v>184.79169999999999</v>
      </c>
      <c r="G10" s="185">
        <f>D10/F10</f>
        <v>9.3348348437727463E-2</v>
      </c>
    </row>
    <row r="11" spans="1:7" x14ac:dyDescent="0.25">
      <c r="B11" s="195" t="s">
        <v>107</v>
      </c>
      <c r="C11" s="157" t="s">
        <v>24</v>
      </c>
      <c r="D11" s="189">
        <f>103.0625+89.04166+80.125</f>
        <v>272.22915999999998</v>
      </c>
      <c r="E11" s="629">
        <f t="shared" ref="E11:E27" si="0">D11/$D$28</f>
        <v>0.34071234426334301</v>
      </c>
      <c r="F11" s="162">
        <v>968.60410000000002</v>
      </c>
      <c r="G11" s="185">
        <f t="shared" ref="G11:G28" si="1">D11/F11</f>
        <v>0.28105307421267367</v>
      </c>
    </row>
    <row r="12" spans="1:7" x14ac:dyDescent="0.25">
      <c r="B12" s="195" t="s">
        <v>108</v>
      </c>
      <c r="C12" s="157" t="s">
        <v>25</v>
      </c>
      <c r="D12" s="189">
        <v>14</v>
      </c>
      <c r="E12" s="629">
        <f t="shared" si="0"/>
        <v>1.752190257534058E-2</v>
      </c>
      <c r="F12" s="162">
        <v>38.416670000000003</v>
      </c>
      <c r="G12" s="185">
        <f t="shared" si="1"/>
        <v>0.36442513106940289</v>
      </c>
    </row>
    <row r="13" spans="1:7" x14ac:dyDescent="0.25">
      <c r="B13" s="195" t="s">
        <v>109</v>
      </c>
      <c r="C13" s="157" t="s">
        <v>26</v>
      </c>
      <c r="D13" s="189">
        <v>2.4999989999999999</v>
      </c>
      <c r="E13" s="629">
        <f t="shared" si="0"/>
        <v>3.1289099226034906E-3</v>
      </c>
      <c r="F13" s="162">
        <v>23.41666</v>
      </c>
      <c r="G13" s="185">
        <f t="shared" si="1"/>
        <v>0.10676155352642093</v>
      </c>
    </row>
    <row r="14" spans="1:7" x14ac:dyDescent="0.25">
      <c r="B14" s="195" t="s">
        <v>110</v>
      </c>
      <c r="C14" s="157" t="s">
        <v>27</v>
      </c>
      <c r="D14" s="189">
        <f xml:space="preserve"> 5</f>
        <v>5</v>
      </c>
      <c r="E14" s="629">
        <f t="shared" si="0"/>
        <v>6.2578223483359214E-3</v>
      </c>
      <c r="F14" s="162">
        <v>61.166670000000003</v>
      </c>
      <c r="G14" s="185">
        <f t="shared" si="1"/>
        <v>8.174386475510273E-2</v>
      </c>
    </row>
    <row r="15" spans="1:7" x14ac:dyDescent="0.25">
      <c r="B15" s="195" t="s">
        <v>111</v>
      </c>
      <c r="C15" s="157" t="s">
        <v>28</v>
      </c>
      <c r="D15" s="189">
        <f>58.72916+3.208333</f>
        <v>61.937493000000003</v>
      </c>
      <c r="E15" s="629">
        <f t="shared" si="0"/>
        <v>7.7518765579059942E-2</v>
      </c>
      <c r="F15" s="162">
        <v>166.08333300000001</v>
      </c>
      <c r="G15" s="185">
        <f t="shared" si="1"/>
        <v>0.37293021449659852</v>
      </c>
    </row>
    <row r="16" spans="1:7" x14ac:dyDescent="0.25">
      <c r="B16" s="195" t="s">
        <v>112</v>
      </c>
      <c r="C16" s="157" t="s">
        <v>29</v>
      </c>
      <c r="D16" s="189">
        <v>4.7499989999999999</v>
      </c>
      <c r="E16" s="629">
        <f t="shared" si="0"/>
        <v>5.9449299793546554E-3</v>
      </c>
      <c r="F16" s="162">
        <v>44.25</v>
      </c>
      <c r="G16" s="185">
        <f t="shared" si="1"/>
        <v>0.10734461016949153</v>
      </c>
    </row>
    <row r="17" spans="2:7" x14ac:dyDescent="0.25">
      <c r="B17" s="195" t="s">
        <v>76</v>
      </c>
      <c r="C17" s="157" t="s">
        <v>30</v>
      </c>
      <c r="D17" s="189">
        <v>0</v>
      </c>
      <c r="E17" s="629">
        <f t="shared" si="0"/>
        <v>0</v>
      </c>
      <c r="F17" s="162">
        <v>2</v>
      </c>
      <c r="G17" s="185">
        <f t="shared" si="1"/>
        <v>0</v>
      </c>
    </row>
    <row r="18" spans="2:7" x14ac:dyDescent="0.25">
      <c r="B18" s="195" t="s">
        <v>113</v>
      </c>
      <c r="C18" s="157" t="s">
        <v>606</v>
      </c>
      <c r="D18" s="189">
        <f>2.916666+30.58333</f>
        <v>33.499996000000003</v>
      </c>
      <c r="E18" s="629">
        <f t="shared" si="0"/>
        <v>4.19274047275928E-2</v>
      </c>
      <c r="F18" s="162">
        <v>298.27085999999997</v>
      </c>
      <c r="G18" s="185">
        <f t="shared" si="1"/>
        <v>0.11231400881735483</v>
      </c>
    </row>
    <row r="19" spans="2:7" x14ac:dyDescent="0.25">
      <c r="B19" s="195" t="s">
        <v>114</v>
      </c>
      <c r="C19" s="157" t="s">
        <v>32</v>
      </c>
      <c r="D19" s="189">
        <v>79.1875</v>
      </c>
      <c r="E19" s="629">
        <f t="shared" si="0"/>
        <v>9.9108261441770151E-2</v>
      </c>
      <c r="F19" s="162">
        <v>362.10419999999999</v>
      </c>
      <c r="G19" s="185">
        <f t="shared" si="1"/>
        <v>0.21868705195907698</v>
      </c>
    </row>
    <row r="20" spans="2:7" x14ac:dyDescent="0.25">
      <c r="B20" s="195" t="s">
        <v>115</v>
      </c>
      <c r="C20" s="157" t="s">
        <v>33</v>
      </c>
      <c r="D20" s="189">
        <v>0</v>
      </c>
      <c r="E20" s="629">
        <f t="shared" si="0"/>
        <v>0</v>
      </c>
      <c r="F20" s="162">
        <v>0</v>
      </c>
      <c r="G20" s="185" t="s">
        <v>128</v>
      </c>
    </row>
    <row r="21" spans="2:7" x14ac:dyDescent="0.25">
      <c r="B21" s="195" t="s">
        <v>116</v>
      </c>
      <c r="C21" s="157" t="s">
        <v>608</v>
      </c>
      <c r="D21" s="189">
        <f>37.83333+5.145832+71.72916+116.7292</f>
        <v>231.437522</v>
      </c>
      <c r="E21" s="629">
        <f t="shared" si="0"/>
        <v>0.28965897948301728</v>
      </c>
      <c r="F21" s="162">
        <v>674.64582999999993</v>
      </c>
      <c r="G21" s="185">
        <f t="shared" si="1"/>
        <v>0.34305040023741051</v>
      </c>
    </row>
    <row r="22" spans="2:7" x14ac:dyDescent="0.25">
      <c r="B22" s="195" t="s">
        <v>117</v>
      </c>
      <c r="C22" s="157" t="s">
        <v>35</v>
      </c>
      <c r="D22" s="189">
        <v>4</v>
      </c>
      <c r="E22" s="629">
        <f t="shared" si="0"/>
        <v>5.0062578786687368E-3</v>
      </c>
      <c r="F22" s="162">
        <v>9.4583329999999997</v>
      </c>
      <c r="G22" s="185">
        <f t="shared" si="1"/>
        <v>0.42290750389101339</v>
      </c>
    </row>
    <row r="23" spans="2:7" x14ac:dyDescent="0.25">
      <c r="B23" s="195" t="s">
        <v>118</v>
      </c>
      <c r="C23" s="157" t="s">
        <v>36</v>
      </c>
      <c r="D23" s="189">
        <v>0</v>
      </c>
      <c r="E23" s="629">
        <f t="shared" si="0"/>
        <v>0</v>
      </c>
      <c r="F23" s="162">
        <v>0</v>
      </c>
      <c r="G23" s="185" t="s">
        <v>128</v>
      </c>
    </row>
    <row r="24" spans="2:7" x14ac:dyDescent="0.25">
      <c r="B24" s="195" t="s">
        <v>119</v>
      </c>
      <c r="C24" s="157" t="s">
        <v>37</v>
      </c>
      <c r="D24" s="189">
        <v>21.75</v>
      </c>
      <c r="E24" s="629">
        <f t="shared" si="0"/>
        <v>2.7221527215261256E-2</v>
      </c>
      <c r="F24" s="162">
        <v>46.5</v>
      </c>
      <c r="G24" s="185">
        <f>D24/F24</f>
        <v>0.46774193548387094</v>
      </c>
    </row>
    <row r="25" spans="2:7" x14ac:dyDescent="0.25">
      <c r="B25" s="195" t="s">
        <v>120</v>
      </c>
      <c r="C25" s="157" t="s">
        <v>38</v>
      </c>
      <c r="D25" s="189">
        <v>5.5833320000000004</v>
      </c>
      <c r="E25" s="629">
        <f t="shared" si="0"/>
        <v>6.9878999535558199E-3</v>
      </c>
      <c r="F25" s="162">
        <v>19.29166</v>
      </c>
      <c r="G25" s="185">
        <f>D25/F25</f>
        <v>0.28941687755226869</v>
      </c>
    </row>
    <row r="26" spans="2:7" x14ac:dyDescent="0.25">
      <c r="B26" s="195" t="s">
        <v>121</v>
      </c>
      <c r="C26" s="157" t="s">
        <v>39</v>
      </c>
      <c r="D26" s="189">
        <v>0</v>
      </c>
      <c r="E26" s="629">
        <f t="shared" si="0"/>
        <v>0</v>
      </c>
      <c r="F26" s="162">
        <v>0</v>
      </c>
      <c r="G26" s="185" t="s">
        <v>128</v>
      </c>
    </row>
    <row r="27" spans="2:7" x14ac:dyDescent="0.25">
      <c r="B27" s="196" t="s">
        <v>122</v>
      </c>
      <c r="C27" s="159" t="s">
        <v>40</v>
      </c>
      <c r="D27" s="193">
        <v>6.25</v>
      </c>
      <c r="E27" s="629">
        <f t="shared" si="0"/>
        <v>7.822277935419902E-3</v>
      </c>
      <c r="F27" s="163">
        <v>13.375</v>
      </c>
      <c r="G27" s="185">
        <f t="shared" si="1"/>
        <v>0.46728971962616822</v>
      </c>
    </row>
    <row r="28" spans="2:7" x14ac:dyDescent="0.25">
      <c r="B28" s="196"/>
      <c r="C28" s="159" t="s">
        <v>8</v>
      </c>
      <c r="D28" s="145">
        <f>SUM(D9:D27)</f>
        <v>798.99999100000002</v>
      </c>
      <c r="E28" s="641">
        <f>D28/D28</f>
        <v>1</v>
      </c>
      <c r="F28" s="164">
        <f>SUM(F9:F27)</f>
        <v>3062.7708460000003</v>
      </c>
      <c r="G28" s="186">
        <f t="shared" si="1"/>
        <v>0.26087488459787955</v>
      </c>
    </row>
    <row r="29" spans="2:7" x14ac:dyDescent="0.25">
      <c r="B29" s="170"/>
      <c r="C29" s="78" t="s">
        <v>678</v>
      </c>
      <c r="D29" s="170"/>
      <c r="E29" s="170"/>
      <c r="F29" s="170"/>
      <c r="G29" s="170"/>
    </row>
    <row r="30" spans="2:7" x14ac:dyDescent="0.25">
      <c r="B30" s="170"/>
      <c r="C30" s="78" t="s">
        <v>604</v>
      </c>
      <c r="D30" s="170"/>
      <c r="E30" s="170"/>
      <c r="F30" s="170"/>
      <c r="G30"/>
    </row>
    <row r="31" spans="2:7" s="64" customFormat="1" x14ac:dyDescent="0.25">
      <c r="B31" s="24"/>
      <c r="C31" s="78" t="s">
        <v>607</v>
      </c>
      <c r="D31" s="24"/>
      <c r="E31" s="24"/>
      <c r="F31" s="24"/>
      <c r="G31"/>
    </row>
    <row r="32" spans="2:7" x14ac:dyDescent="0.25">
      <c r="B32" s="24"/>
      <c r="C32" s="231" t="s">
        <v>609</v>
      </c>
      <c r="D32" s="24"/>
      <c r="E32" s="24"/>
      <c r="F32" s="24"/>
      <c r="G32" s="47"/>
    </row>
    <row r="33" spans="2:7" s="204" customFormat="1" x14ac:dyDescent="0.25">
      <c r="B33"/>
      <c r="C33"/>
      <c r="D33"/>
      <c r="E33"/>
      <c r="F33"/>
      <c r="G33"/>
    </row>
    <row r="34" spans="2:7" s="204" customFormat="1" x14ac:dyDescent="0.25">
      <c r="B34"/>
      <c r="C34"/>
      <c r="D34"/>
      <c r="E34"/>
      <c r="F34"/>
      <c r="G34"/>
    </row>
    <row r="35" spans="2:7" x14ac:dyDescent="0.25">
      <c r="B35" s="658" t="s">
        <v>665</v>
      </c>
      <c r="C35" s="644"/>
      <c r="D35" s="644"/>
      <c r="E35" s="644"/>
      <c r="F35" s="644"/>
      <c r="G35" s="644"/>
    </row>
    <row r="36" spans="2:7" s="46" customFormat="1" x14ac:dyDescent="0.25">
      <c r="B36" s="143"/>
      <c r="C36" s="165"/>
      <c r="D36" s="658" t="s">
        <v>410</v>
      </c>
      <c r="E36" s="659"/>
      <c r="F36" s="644" t="s">
        <v>127</v>
      </c>
      <c r="G36" s="659"/>
    </row>
    <row r="37" spans="2:7" ht="15.75" thickBot="1" x14ac:dyDescent="0.3">
      <c r="B37" s="194"/>
      <c r="C37" s="154"/>
      <c r="D37" s="183" t="s">
        <v>217</v>
      </c>
      <c r="E37" s="184" t="s">
        <v>9</v>
      </c>
      <c r="F37" s="160" t="s">
        <v>217</v>
      </c>
      <c r="G37" s="184" t="s">
        <v>9</v>
      </c>
    </row>
    <row r="38" spans="2:7" ht="15.75" thickTop="1" x14ac:dyDescent="0.25">
      <c r="B38" s="198" t="s">
        <v>105</v>
      </c>
      <c r="C38" s="155" t="s">
        <v>22</v>
      </c>
      <c r="D38" s="189">
        <f>16.82917+15.85833</f>
        <v>32.6875</v>
      </c>
      <c r="E38" s="629">
        <f>D38/D57</f>
        <v>5.3014523384432584E-2</v>
      </c>
      <c r="F38" s="162">
        <v>122.54219999999999</v>
      </c>
      <c r="G38" s="185">
        <f>D38/F38</f>
        <v>0.26674484381706876</v>
      </c>
    </row>
    <row r="39" spans="2:7" x14ac:dyDescent="0.25">
      <c r="B39" s="195" t="s">
        <v>106</v>
      </c>
      <c r="C39" s="157" t="s">
        <v>23</v>
      </c>
      <c r="D39" s="189">
        <f>17.0625</f>
        <v>17.0625</v>
      </c>
      <c r="E39" s="629">
        <f>D39/$D$57</f>
        <v>2.7672973009464811E-2</v>
      </c>
      <c r="F39" s="162">
        <v>150.9958</v>
      </c>
      <c r="G39" s="185">
        <f t="shared" ref="G39:G56" si="2">D39/F39</f>
        <v>0.11299983178340059</v>
      </c>
    </row>
    <row r="40" spans="2:7" x14ac:dyDescent="0.25">
      <c r="B40" s="195" t="s">
        <v>107</v>
      </c>
      <c r="C40" s="157" t="s">
        <v>24</v>
      </c>
      <c r="D40" s="189">
        <f>72.91766+83.25+55.775</f>
        <v>211.94266000000002</v>
      </c>
      <c r="E40" s="629">
        <f t="shared" ref="E40:E56" si="3">D40/$D$57</f>
        <v>0.34374115807965877</v>
      </c>
      <c r="F40" s="162">
        <v>736.06420000000003</v>
      </c>
      <c r="G40" s="185">
        <f t="shared" si="2"/>
        <v>0.28794045410712815</v>
      </c>
    </row>
    <row r="41" spans="2:7" x14ac:dyDescent="0.25">
      <c r="B41" s="195" t="s">
        <v>108</v>
      </c>
      <c r="C41" s="157" t="s">
        <v>25</v>
      </c>
      <c r="D41" s="189">
        <v>9.68</v>
      </c>
      <c r="E41" s="629">
        <f t="shared" si="3"/>
        <v>1.5699597288300036E-2</v>
      </c>
      <c r="F41" s="162">
        <v>23.946670000000001</v>
      </c>
      <c r="G41" s="185">
        <f t="shared" si="2"/>
        <v>0.404231569566875</v>
      </c>
    </row>
    <row r="42" spans="2:7" x14ac:dyDescent="0.25">
      <c r="B42" s="195" t="s">
        <v>109</v>
      </c>
      <c r="C42" s="157" t="s">
        <v>26</v>
      </c>
      <c r="D42" s="189">
        <v>0.77499899999999999</v>
      </c>
      <c r="E42" s="629">
        <f t="shared" si="3"/>
        <v>1.2569392767391777E-3</v>
      </c>
      <c r="F42" s="162">
        <v>11.289580000000001</v>
      </c>
      <c r="G42" s="185">
        <f t="shared" si="2"/>
        <v>6.864728360133858E-2</v>
      </c>
    </row>
    <row r="43" spans="2:7" x14ac:dyDescent="0.25">
      <c r="B43" s="195" t="s">
        <v>110</v>
      </c>
      <c r="C43" s="157" t="s">
        <v>27</v>
      </c>
      <c r="D43" s="189">
        <v>3.6</v>
      </c>
      <c r="E43" s="629">
        <f t="shared" si="3"/>
        <v>5.8386932063925756E-3</v>
      </c>
      <c r="F43" s="162">
        <v>17.691669999999998</v>
      </c>
      <c r="G43" s="185">
        <f t="shared" si="2"/>
        <v>0.20348559519819218</v>
      </c>
    </row>
    <row r="44" spans="2:7" x14ac:dyDescent="0.25">
      <c r="B44" s="195" t="s">
        <v>111</v>
      </c>
      <c r="C44" s="157" t="s">
        <v>28</v>
      </c>
      <c r="D44" s="189">
        <f xml:space="preserve"> 46.16249+1.866666</f>
        <v>48.029156</v>
      </c>
      <c r="E44" s="629">
        <f t="shared" si="3"/>
        <v>7.7896529679435889E-2</v>
      </c>
      <c r="F44" s="162">
        <v>107.49156600000001</v>
      </c>
      <c r="G44" s="185">
        <f t="shared" si="2"/>
        <v>0.44681790197381621</v>
      </c>
    </row>
    <row r="45" spans="2:7" x14ac:dyDescent="0.25">
      <c r="B45" s="195" t="s">
        <v>112</v>
      </c>
      <c r="C45" s="157" t="s">
        <v>29</v>
      </c>
      <c r="D45" s="189">
        <v>2.2941660000000001</v>
      </c>
      <c r="E45" s="629">
        <f t="shared" si="3"/>
        <v>3.720814288482453E-3</v>
      </c>
      <c r="F45" s="162">
        <v>28.344159999999999</v>
      </c>
      <c r="G45" s="185">
        <f t="shared" si="2"/>
        <v>8.0939636242527577E-2</v>
      </c>
    </row>
    <row r="46" spans="2:7" x14ac:dyDescent="0.25">
      <c r="B46" s="195" t="s">
        <v>76</v>
      </c>
      <c r="C46" s="157" t="s">
        <v>30</v>
      </c>
      <c r="D46" s="189">
        <v>0</v>
      </c>
      <c r="E46" s="629">
        <f t="shared" si="3"/>
        <v>0</v>
      </c>
      <c r="F46" s="162">
        <v>2</v>
      </c>
      <c r="G46" s="185">
        <f t="shared" si="2"/>
        <v>0</v>
      </c>
    </row>
    <row r="47" spans="2:7" x14ac:dyDescent="0.25">
      <c r="B47" s="195" t="s">
        <v>113</v>
      </c>
      <c r="C47" s="157" t="s">
        <v>606</v>
      </c>
      <c r="D47" s="189">
        <f xml:space="preserve"> 2.916666+21.82508</f>
        <v>24.741745999999999</v>
      </c>
      <c r="E47" s="629">
        <f t="shared" si="3"/>
        <v>4.0127628967914074E-2</v>
      </c>
      <c r="F47" s="162">
        <v>246.19021000000001</v>
      </c>
      <c r="G47" s="185">
        <f t="shared" si="2"/>
        <v>0.10049849667052153</v>
      </c>
    </row>
    <row r="48" spans="2:7" x14ac:dyDescent="0.25">
      <c r="B48" s="195" t="s">
        <v>114</v>
      </c>
      <c r="C48" s="157" t="s">
        <v>32</v>
      </c>
      <c r="D48" s="189">
        <v>30.333749999999998</v>
      </c>
      <c r="E48" s="629">
        <f t="shared" si="3"/>
        <v>4.9197072235947437E-2</v>
      </c>
      <c r="F48" s="162">
        <v>201.62710000000001</v>
      </c>
      <c r="G48" s="185">
        <f t="shared" si="2"/>
        <v>0.15044480627852108</v>
      </c>
    </row>
    <row r="49" spans="2:7" x14ac:dyDescent="0.25">
      <c r="B49" s="195" t="s">
        <v>115</v>
      </c>
      <c r="C49" s="157" t="s">
        <v>33</v>
      </c>
      <c r="D49" s="189">
        <v>0</v>
      </c>
      <c r="E49" s="629">
        <f t="shared" si="3"/>
        <v>0</v>
      </c>
      <c r="F49" s="162">
        <v>0</v>
      </c>
      <c r="G49" s="185" t="s">
        <v>128</v>
      </c>
    </row>
    <row r="50" spans="2:7" x14ac:dyDescent="0.25">
      <c r="B50" s="195" t="s">
        <v>116</v>
      </c>
      <c r="C50" s="157" t="s">
        <v>608</v>
      </c>
      <c r="D50" s="189">
        <f>37.16292+5.145832+62.05183+110.5581</f>
        <v>214.91868199999999</v>
      </c>
      <c r="E50" s="629">
        <f t="shared" si="3"/>
        <v>0.34856784681117953</v>
      </c>
      <c r="F50" s="162">
        <v>566.91624999999999</v>
      </c>
      <c r="G50" s="185">
        <f t="shared" si="2"/>
        <v>0.37910129053453662</v>
      </c>
    </row>
    <row r="51" spans="2:7" x14ac:dyDescent="0.25">
      <c r="B51" s="195" t="s">
        <v>117</v>
      </c>
      <c r="C51" s="157" t="s">
        <v>35</v>
      </c>
      <c r="D51" s="189">
        <v>2.4820000000000002</v>
      </c>
      <c r="E51" s="629">
        <f t="shared" si="3"/>
        <v>4.0254545939628818E-3</v>
      </c>
      <c r="F51" s="162">
        <v>4.2540829999999996</v>
      </c>
      <c r="G51" s="185">
        <f t="shared" si="2"/>
        <v>0.58343948625355935</v>
      </c>
    </row>
    <row r="52" spans="2:7" x14ac:dyDescent="0.25">
      <c r="B52" s="195" t="s">
        <v>118</v>
      </c>
      <c r="C52" s="157" t="s">
        <v>36</v>
      </c>
      <c r="D52" s="189">
        <v>0</v>
      </c>
      <c r="E52" s="629">
        <f t="shared" si="3"/>
        <v>0</v>
      </c>
      <c r="F52" s="162">
        <v>0</v>
      </c>
      <c r="G52" s="185" t="s">
        <v>128</v>
      </c>
    </row>
    <row r="53" spans="2:7" x14ac:dyDescent="0.25">
      <c r="B53" s="195" t="s">
        <v>119</v>
      </c>
      <c r="C53" s="157" t="s">
        <v>37</v>
      </c>
      <c r="D53" s="189">
        <v>8.8625000000000007</v>
      </c>
      <c r="E53" s="629">
        <f t="shared" si="3"/>
        <v>1.4373727372681723E-2</v>
      </c>
      <c r="F53" s="162">
        <v>23.662500000000001</v>
      </c>
      <c r="G53" s="185">
        <f t="shared" si="2"/>
        <v>0.37453777073428424</v>
      </c>
    </row>
    <row r="54" spans="2:7" x14ac:dyDescent="0.25">
      <c r="B54" s="195" t="s">
        <v>120</v>
      </c>
      <c r="C54" s="157" t="s">
        <v>38</v>
      </c>
      <c r="D54" s="189">
        <v>3.2916660000000002</v>
      </c>
      <c r="E54" s="629">
        <f t="shared" si="3"/>
        <v>5.3386188644203953E-3</v>
      </c>
      <c r="F54" s="162">
        <v>9.2874979999999994</v>
      </c>
      <c r="G54" s="185">
        <f t="shared" si="2"/>
        <v>0.35441902652361273</v>
      </c>
    </row>
    <row r="55" spans="2:7" x14ac:dyDescent="0.25">
      <c r="B55" s="195" t="s">
        <v>121</v>
      </c>
      <c r="C55" s="157" t="s">
        <v>39</v>
      </c>
      <c r="D55" s="189">
        <v>0</v>
      </c>
      <c r="E55" s="629">
        <f t="shared" si="3"/>
        <v>0</v>
      </c>
      <c r="F55" s="162">
        <v>0</v>
      </c>
      <c r="G55" s="185" t="s">
        <v>128</v>
      </c>
    </row>
    <row r="56" spans="2:7" x14ac:dyDescent="0.25">
      <c r="B56" s="196" t="s">
        <v>122</v>
      </c>
      <c r="C56" s="159" t="s">
        <v>40</v>
      </c>
      <c r="D56" s="189">
        <v>5.875</v>
      </c>
      <c r="E56" s="629">
        <f t="shared" si="3"/>
        <v>9.528422940987883E-3</v>
      </c>
      <c r="F56" s="162">
        <v>12.237500000000001</v>
      </c>
      <c r="G56" s="185">
        <f t="shared" si="2"/>
        <v>0.48008171603677219</v>
      </c>
    </row>
    <row r="57" spans="2:7" x14ac:dyDescent="0.25">
      <c r="B57" s="196"/>
      <c r="C57" s="159" t="s">
        <v>8</v>
      </c>
      <c r="D57" s="190">
        <f>SUM(D38:D56)</f>
        <v>616.57632499999988</v>
      </c>
      <c r="E57" s="641">
        <f>D57/D57</f>
        <v>1</v>
      </c>
      <c r="F57" s="168">
        <f>SUM(F38:F56)</f>
        <v>2264.5409870000003</v>
      </c>
      <c r="G57" s="186">
        <f>D57/F57</f>
        <v>0.27227430571562439</v>
      </c>
    </row>
    <row r="58" spans="2:7" x14ac:dyDescent="0.25">
      <c r="B58" s="170"/>
      <c r="C58" s="78" t="s">
        <v>678</v>
      </c>
      <c r="D58" s="170"/>
      <c r="E58" s="170"/>
      <c r="F58" s="170"/>
      <c r="G58" s="170"/>
    </row>
    <row r="59" spans="2:7" x14ac:dyDescent="0.25">
      <c r="B59" s="170"/>
      <c r="C59" s="78" t="s">
        <v>604</v>
      </c>
      <c r="D59" s="170"/>
      <c r="E59" s="170"/>
      <c r="F59" s="170"/>
      <c r="G59" s="170"/>
    </row>
    <row r="60" spans="2:7" s="64" customFormat="1" x14ac:dyDescent="0.25">
      <c r="B60" s="24"/>
      <c r="C60" s="78" t="s">
        <v>607</v>
      </c>
      <c r="D60" s="24"/>
      <c r="E60" s="24"/>
      <c r="F60" s="170"/>
      <c r="G60" s="170"/>
    </row>
    <row r="61" spans="2:7" x14ac:dyDescent="0.25">
      <c r="B61" s="24"/>
      <c r="C61" s="231" t="s">
        <v>609</v>
      </c>
      <c r="D61" s="24"/>
      <c r="E61" s="24"/>
      <c r="F61" s="170"/>
      <c r="G61" s="170"/>
    </row>
  </sheetData>
  <sheetProtection password="C69F" sheet="1" objects="1" scenarios="1"/>
  <mergeCells count="6">
    <mergeCell ref="F7:G7"/>
    <mergeCell ref="D7:E7"/>
    <mergeCell ref="D36:E36"/>
    <mergeCell ref="F36:G36"/>
    <mergeCell ref="B6:G6"/>
    <mergeCell ref="B35:G35"/>
  </mergeCells>
  <hyperlinks>
    <hyperlink ref="A1" location="ÍNDICE!A1" display="ÍNDICE"/>
  </hyperlinks>
  <pageMargins left="0.7" right="0.7" top="0.75" bottom="0.75" header="0.3" footer="0.3"/>
  <ignoredErrors>
    <ignoredError sqref="E28" formula="1"/>
  </ignoredErrors>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W132"/>
  <sheetViews>
    <sheetView zoomScale="90" zoomScaleNormal="90" workbookViewId="0"/>
  </sheetViews>
  <sheetFormatPr baseColWidth="10" defaultRowHeight="15" x14ac:dyDescent="0.25"/>
  <cols>
    <col min="1" max="1" width="11.42578125" style="204"/>
    <col min="2" max="2" width="18" style="204" customWidth="1"/>
    <col min="3" max="3" width="14" style="204" bestFit="1" customWidth="1"/>
    <col min="4" max="4" width="12.140625" style="204" customWidth="1"/>
    <col min="5" max="5" width="27.85546875" style="204" bestFit="1" customWidth="1"/>
    <col min="6" max="6" width="12.140625" style="204" customWidth="1"/>
    <col min="7" max="7" width="26" style="204" customWidth="1"/>
    <col min="8" max="8" width="12.140625" style="204" customWidth="1"/>
    <col min="9" max="9" width="16.140625" style="204" customWidth="1"/>
    <col min="10" max="10" width="12.140625" style="204" customWidth="1"/>
    <col min="11" max="11" width="11.42578125" style="204"/>
    <col min="12" max="12" width="12.140625" style="204" customWidth="1"/>
    <col min="13" max="13" width="13.5703125" style="204" customWidth="1"/>
    <col min="14" max="14" width="12.140625" style="204" customWidth="1"/>
    <col min="15" max="16384" width="11.42578125" style="204"/>
  </cols>
  <sheetData>
    <row r="1" spans="1:18" x14ac:dyDescent="0.25">
      <c r="A1" s="181" t="s">
        <v>132</v>
      </c>
    </row>
    <row r="2" spans="1:18" x14ac:dyDescent="0.25">
      <c r="A2" s="152" t="s">
        <v>426</v>
      </c>
    </row>
    <row r="4" spans="1:18" x14ac:dyDescent="0.25">
      <c r="A4" s="180" t="s">
        <v>103</v>
      </c>
      <c r="B4" s="204" t="s">
        <v>591</v>
      </c>
    </row>
    <row r="5" spans="1:18" x14ac:dyDescent="0.25">
      <c r="B5" s="719"/>
      <c r="C5" s="719"/>
      <c r="D5" s="719"/>
      <c r="E5" s="719"/>
      <c r="F5" s="719"/>
      <c r="G5" s="719"/>
      <c r="H5" s="719"/>
      <c r="I5" s="719"/>
      <c r="J5" s="201"/>
    </row>
    <row r="6" spans="1:18" x14ac:dyDescent="0.25">
      <c r="B6" s="658" t="s">
        <v>443</v>
      </c>
      <c r="C6" s="644"/>
      <c r="D6" s="644"/>
      <c r="E6" s="644"/>
      <c r="F6" s="644"/>
      <c r="G6" s="644"/>
      <c r="H6" s="644"/>
      <c r="I6" s="644"/>
      <c r="J6" s="659"/>
    </row>
    <row r="7" spans="1:18" ht="15.75" thickBot="1" x14ac:dyDescent="0.3">
      <c r="B7" s="194"/>
      <c r="C7" s="187" t="s">
        <v>123</v>
      </c>
      <c r="D7" s="188" t="s">
        <v>411</v>
      </c>
      <c r="E7" s="160" t="s">
        <v>124</v>
      </c>
      <c r="F7" s="160" t="s">
        <v>411</v>
      </c>
      <c r="G7" s="187" t="s">
        <v>125</v>
      </c>
      <c r="H7" s="188" t="s">
        <v>411</v>
      </c>
      <c r="I7" s="160" t="s">
        <v>126</v>
      </c>
      <c r="J7" s="184" t="s">
        <v>411</v>
      </c>
      <c r="M7"/>
      <c r="N7"/>
      <c r="O7"/>
      <c r="P7"/>
      <c r="Q7"/>
      <c r="R7"/>
    </row>
    <row r="8" spans="1:18" ht="15.75" thickTop="1" x14ac:dyDescent="0.25">
      <c r="B8" s="205" t="s">
        <v>447</v>
      </c>
      <c r="C8" s="189"/>
      <c r="D8" s="141"/>
      <c r="E8" s="162"/>
      <c r="F8" s="162"/>
      <c r="G8" s="189"/>
      <c r="H8" s="141"/>
      <c r="I8" s="179"/>
      <c r="J8" s="192"/>
      <c r="M8"/>
      <c r="N8"/>
      <c r="O8"/>
      <c r="P8"/>
      <c r="Q8"/>
      <c r="R8"/>
    </row>
    <row r="9" spans="1:18" x14ac:dyDescent="0.25">
      <c r="B9" s="205" t="s">
        <v>5</v>
      </c>
      <c r="C9" s="189">
        <v>284.74669999999998</v>
      </c>
      <c r="D9" s="185">
        <f>C9/D.2!C9</f>
        <v>0.3703309194886425</v>
      </c>
      <c r="E9" s="162">
        <v>123.2349</v>
      </c>
      <c r="F9" s="185">
        <f>E9/D.2!D9</f>
        <v>0.4119008343332497</v>
      </c>
      <c r="G9" s="189">
        <v>130.57919999999999</v>
      </c>
      <c r="H9" s="185">
        <f>G9/D.2!E9</f>
        <v>0.42970766927945864</v>
      </c>
      <c r="I9" s="179">
        <v>538.56079999999997</v>
      </c>
      <c r="J9" s="209">
        <f>I9/D.2!F9</f>
        <v>0.39254761672742938</v>
      </c>
      <c r="K9" s="147"/>
      <c r="M9"/>
      <c r="N9"/>
      <c r="O9"/>
      <c r="P9"/>
      <c r="Q9"/>
      <c r="R9"/>
    </row>
    <row r="10" spans="1:18" x14ac:dyDescent="0.25">
      <c r="B10" s="205" t="s">
        <v>51</v>
      </c>
      <c r="C10" s="189">
        <v>1165.7190000000001</v>
      </c>
      <c r="D10" s="185">
        <f>C10/D.2!C10</f>
        <v>0.32377462282920311</v>
      </c>
      <c r="E10" s="162">
        <v>1419.51</v>
      </c>
      <c r="F10" s="185">
        <f>E10/D.2!D10</f>
        <v>0.47868234504830837</v>
      </c>
      <c r="G10" s="189">
        <v>386.59620000000001</v>
      </c>
      <c r="H10" s="185">
        <f>G10/D.2!E10</f>
        <v>0.48599208210799522</v>
      </c>
      <c r="I10" s="179">
        <v>2971.8252000000002</v>
      </c>
      <c r="J10" s="209">
        <f>I10/D.2!F10</f>
        <v>0.40370742481316013</v>
      </c>
      <c r="M10"/>
      <c r="N10"/>
      <c r="O10"/>
      <c r="P10"/>
      <c r="Q10"/>
      <c r="R10"/>
    </row>
    <row r="11" spans="1:18" x14ac:dyDescent="0.25">
      <c r="B11" s="205" t="s">
        <v>6</v>
      </c>
      <c r="C11" s="189">
        <v>328.32119999999998</v>
      </c>
      <c r="D11" s="185">
        <f>C11/D.2!C11</f>
        <v>0.35871170081279213</v>
      </c>
      <c r="E11" s="162">
        <v>237.0883</v>
      </c>
      <c r="F11" s="185">
        <f>E11/D.2!D11</f>
        <v>0.47594953868477496</v>
      </c>
      <c r="G11" s="189">
        <v>70.760400000000004</v>
      </c>
      <c r="H11" s="185">
        <f>G11/D.2!E11</f>
        <v>0.56297940446647166</v>
      </c>
      <c r="I11" s="179">
        <v>636.16989999999998</v>
      </c>
      <c r="J11" s="209">
        <f>I11/D.2!F11</f>
        <v>0.41333745585808246</v>
      </c>
      <c r="M11"/>
      <c r="N11"/>
      <c r="O11"/>
      <c r="P11"/>
      <c r="Q11"/>
      <c r="R11"/>
    </row>
    <row r="12" spans="1:18" x14ac:dyDescent="0.25">
      <c r="B12" s="205" t="s">
        <v>7</v>
      </c>
      <c r="C12" s="189">
        <v>616.57629999999995</v>
      </c>
      <c r="D12" s="185">
        <f>C12/D.2!C12</f>
        <v>0.27227429551749593</v>
      </c>
      <c r="E12" s="162">
        <v>540.21429999999998</v>
      </c>
      <c r="F12" s="185">
        <f>E12/D.2!D12</f>
        <v>0.38991889576852407</v>
      </c>
      <c r="G12" s="189">
        <v>588.16449999999998</v>
      </c>
      <c r="H12" s="185">
        <f>G12/D.2!E12</f>
        <v>0.40281910288190331</v>
      </c>
      <c r="I12" s="179">
        <v>1744.9550999999997</v>
      </c>
      <c r="J12" s="209">
        <f>I12/D.2!F12</f>
        <v>0.34147083217571733</v>
      </c>
      <c r="M12"/>
      <c r="N12"/>
      <c r="O12"/>
      <c r="P12"/>
      <c r="Q12"/>
      <c r="R12"/>
    </row>
    <row r="13" spans="1:18" x14ac:dyDescent="0.25">
      <c r="B13" s="205" t="s">
        <v>178</v>
      </c>
      <c r="C13" s="189">
        <v>13.266666666666667</v>
      </c>
      <c r="D13" s="185">
        <f>C13/D.2!C13</f>
        <v>0.25047199496538691</v>
      </c>
      <c r="E13" s="162">
        <v>85.466666666666654</v>
      </c>
      <c r="F13" s="185">
        <f>E13/D.2!D13</f>
        <v>0.20045344382769134</v>
      </c>
      <c r="G13" s="189">
        <v>6.166666666666667</v>
      </c>
      <c r="H13" s="185">
        <f>G13/D.2!E13</f>
        <v>0.1289198606271777</v>
      </c>
      <c r="I13" s="179">
        <f>SUM(G13,E13,C13)</f>
        <v>104.89999999999999</v>
      </c>
      <c r="J13" s="209">
        <f>I13/D.2!F13</f>
        <v>0.1989883022447044</v>
      </c>
    </row>
    <row r="14" spans="1:18" x14ac:dyDescent="0.25">
      <c r="B14" s="206" t="s">
        <v>8</v>
      </c>
      <c r="C14" s="145">
        <f>SUM(C9:C13)</f>
        <v>2408.6298666666667</v>
      </c>
      <c r="D14" s="146">
        <f>C14/D.2!C14</f>
        <v>0.31683797646879197</v>
      </c>
      <c r="E14" s="164">
        <f>SUM(E9:E13)</f>
        <v>2405.5141666666668</v>
      </c>
      <c r="F14" s="144">
        <f>E14/D.2!D14</f>
        <v>0.4315136332237749</v>
      </c>
      <c r="G14" s="145">
        <f>SUM(G9:G13)</f>
        <v>1182.2669666666668</v>
      </c>
      <c r="H14" s="146">
        <f>G14/D.2!E14</f>
        <v>0.43258934050612363</v>
      </c>
      <c r="I14" s="145">
        <f>SUM(I9:I13)</f>
        <v>5996.4110000000001</v>
      </c>
      <c r="J14" s="144">
        <f>I14/D.2!F14</f>
        <v>0.3769032192572544</v>
      </c>
      <c r="M14"/>
      <c r="N14"/>
      <c r="O14"/>
      <c r="P14"/>
      <c r="Q14"/>
      <c r="R14"/>
    </row>
    <row r="15" spans="1:18" x14ac:dyDescent="0.25">
      <c r="B15" s="205">
        <v>2013</v>
      </c>
      <c r="C15" s="189"/>
      <c r="D15" s="141"/>
      <c r="E15" s="162"/>
      <c r="F15" s="162"/>
      <c r="G15" s="189"/>
      <c r="H15" s="141"/>
      <c r="I15" s="179"/>
      <c r="J15" s="192"/>
      <c r="M15"/>
      <c r="N15"/>
      <c r="O15"/>
      <c r="P15"/>
      <c r="Q15"/>
      <c r="R15"/>
    </row>
    <row r="16" spans="1:18" x14ac:dyDescent="0.25">
      <c r="B16" s="205" t="s">
        <v>5</v>
      </c>
      <c r="C16" s="189">
        <v>299.09249999999997</v>
      </c>
      <c r="D16" s="185">
        <f>C16/D.2!C16</f>
        <v>0.42110530595216089</v>
      </c>
      <c r="E16" s="162">
        <v>133</v>
      </c>
      <c r="F16" s="185">
        <f>E16/D.2!D16</f>
        <v>0.43921931244014401</v>
      </c>
      <c r="G16" s="189">
        <v>144.26</v>
      </c>
      <c r="H16" s="185">
        <f>G16/D.2!E16</f>
        <v>0.39057804250710704</v>
      </c>
      <c r="I16" s="179">
        <f>SUM(G16,E16,C16)</f>
        <v>576.35249999999996</v>
      </c>
      <c r="J16" s="209">
        <f>I16/D.2!F16</f>
        <v>0.41691688282419043</v>
      </c>
      <c r="M16"/>
      <c r="N16"/>
      <c r="O16"/>
      <c r="P16"/>
      <c r="Q16"/>
      <c r="R16"/>
    </row>
    <row r="17" spans="2:18" x14ac:dyDescent="0.25">
      <c r="B17" s="205" t="s">
        <v>51</v>
      </c>
      <c r="C17" s="189">
        <v>1091.1479999999999</v>
      </c>
      <c r="D17" s="185">
        <f>C17/D.2!C17</f>
        <v>0.33477043256617312</v>
      </c>
      <c r="E17" s="162">
        <v>1242.125</v>
      </c>
      <c r="F17" s="185">
        <f>E17/D.2!D17</f>
        <v>0.50747431306081348</v>
      </c>
      <c r="G17" s="189">
        <v>550.99710000000005</v>
      </c>
      <c r="H17" s="185">
        <f>G17/D.2!E17</f>
        <v>0.57127893022014065</v>
      </c>
      <c r="I17" s="179">
        <f t="shared" ref="I17:I18" si="0">SUM(G17,E17,C17)</f>
        <v>2884.2700999999997</v>
      </c>
      <c r="J17" s="209">
        <f>I17/D.2!F17</f>
        <v>0.43232382968868122</v>
      </c>
      <c r="M17"/>
      <c r="N17"/>
      <c r="O17"/>
      <c r="P17"/>
      <c r="Q17"/>
      <c r="R17"/>
    </row>
    <row r="18" spans="2:18" x14ac:dyDescent="0.25">
      <c r="B18" s="205" t="s">
        <v>6</v>
      </c>
      <c r="C18" s="189">
        <v>176.52459999999999</v>
      </c>
      <c r="D18" s="185">
        <f>C18/D.2!C18</f>
        <v>0.40019368337498745</v>
      </c>
      <c r="E18" s="162">
        <v>151.3433</v>
      </c>
      <c r="F18" s="185">
        <f>E18/D.2!D18</f>
        <v>0.57292646455796459</v>
      </c>
      <c r="G18" s="189">
        <v>36.316249999999997</v>
      </c>
      <c r="H18" s="185">
        <f>G18/D.2!E18</f>
        <v>0.41278042727731817</v>
      </c>
      <c r="I18" s="179">
        <f t="shared" si="0"/>
        <v>364.18414999999999</v>
      </c>
      <c r="J18" s="209">
        <f>I18/D.2!F18</f>
        <v>0.45911207574882462</v>
      </c>
      <c r="M18"/>
      <c r="N18"/>
      <c r="O18"/>
      <c r="P18"/>
      <c r="Q18"/>
      <c r="R18"/>
    </row>
    <row r="19" spans="2:18" x14ac:dyDescent="0.25">
      <c r="B19" s="205" t="s">
        <v>7</v>
      </c>
      <c r="C19" s="189">
        <v>472.76</v>
      </c>
      <c r="D19" s="185">
        <f>C19/D.2!C19</f>
        <v>0.33048892451442985</v>
      </c>
      <c r="E19" s="162">
        <v>483.19</v>
      </c>
      <c r="F19" s="185">
        <f>E19/D.2!D19</f>
        <v>0.34885853320433774</v>
      </c>
      <c r="G19" s="189">
        <v>397.47</v>
      </c>
      <c r="H19" s="185">
        <f>G19/D.2!E19</f>
        <v>0.3647350309704061</v>
      </c>
      <c r="I19" s="179">
        <f>SUM(G19,E19,C19)</f>
        <v>1353.42</v>
      </c>
      <c r="J19" s="209">
        <f>I19/D.2!F19</f>
        <v>0.34656009914710145</v>
      </c>
    </row>
    <row r="20" spans="2:18" x14ac:dyDescent="0.25">
      <c r="B20" s="205" t="s">
        <v>178</v>
      </c>
      <c r="C20" s="189">
        <v>12.6666666666667</v>
      </c>
      <c r="D20" s="185">
        <f>C20/D.2!C20</f>
        <v>0.24516129032258113</v>
      </c>
      <c r="E20" s="162">
        <v>186.166666666667</v>
      </c>
      <c r="F20" s="185">
        <f>E20/D.2!D20</f>
        <v>0.47939914163090219</v>
      </c>
      <c r="G20" s="189">
        <v>10.1666666666667</v>
      </c>
      <c r="H20" s="185">
        <f>G20/D.2!E20</f>
        <v>0.28372093023255907</v>
      </c>
      <c r="I20" s="179">
        <f>SUM(C20,E20,G20)</f>
        <v>209.0000000000004</v>
      </c>
      <c r="J20" s="209">
        <f>I20/D.2!F20</f>
        <v>0.43922942206655075</v>
      </c>
    </row>
    <row r="21" spans="2:18" x14ac:dyDescent="0.25">
      <c r="B21" s="206" t="s">
        <v>8</v>
      </c>
      <c r="C21" s="145">
        <f>SUM(C16:C20)</f>
        <v>2052.1917666666664</v>
      </c>
      <c r="D21" s="144">
        <f>C21/D.2!C21</f>
        <v>0.34824825780916602</v>
      </c>
      <c r="E21" s="164">
        <f>SUM(E16:E20)</f>
        <v>2195.824966666667</v>
      </c>
      <c r="F21" s="144">
        <f>E21/D.2!D21</f>
        <v>0.45860790475991892</v>
      </c>
      <c r="G21" s="145">
        <f>SUM(G16:G20)</f>
        <v>1139.2100166666667</v>
      </c>
      <c r="H21" s="144">
        <f>G21/D.2!E21</f>
        <v>0.44720317119428238</v>
      </c>
      <c r="I21" s="179">
        <f>SUM(G21,E21,C21)</f>
        <v>5387.2267499999998</v>
      </c>
      <c r="J21" s="144">
        <f>I21/D.2!F21</f>
        <v>0.40724914031809628</v>
      </c>
    </row>
    <row r="22" spans="2:18" x14ac:dyDescent="0.25">
      <c r="B22" s="205">
        <v>2012</v>
      </c>
      <c r="C22" s="189"/>
      <c r="D22" s="185"/>
      <c r="E22" s="162"/>
      <c r="F22" s="158"/>
      <c r="G22" s="189"/>
      <c r="H22" s="207"/>
      <c r="I22" s="211"/>
      <c r="J22" s="212"/>
    </row>
    <row r="23" spans="2:18" x14ac:dyDescent="0.25">
      <c r="B23" s="205" t="s">
        <v>5</v>
      </c>
      <c r="C23" s="189">
        <v>166.29</v>
      </c>
      <c r="D23" s="185">
        <v>0.41139506692066008</v>
      </c>
      <c r="E23" s="162">
        <v>48.31</v>
      </c>
      <c r="F23" s="185">
        <v>0.40021539226244723</v>
      </c>
      <c r="G23" s="189">
        <v>36.61</v>
      </c>
      <c r="H23" s="185">
        <v>0.44859698566352163</v>
      </c>
      <c r="I23" s="191">
        <v>252.02161045918308</v>
      </c>
      <c r="J23" s="209">
        <v>0.41551384178718792</v>
      </c>
    </row>
    <row r="24" spans="2:18" x14ac:dyDescent="0.25">
      <c r="B24" s="205" t="s">
        <v>51</v>
      </c>
      <c r="C24" s="189">
        <v>1146.83</v>
      </c>
      <c r="D24" s="185">
        <v>0.32202204788085381</v>
      </c>
      <c r="E24" s="162">
        <v>1091.8</v>
      </c>
      <c r="F24" s="185">
        <v>0.44747735562932905</v>
      </c>
      <c r="G24" s="189">
        <v>414.03</v>
      </c>
      <c r="H24" s="185">
        <v>0.50623578607585651</v>
      </c>
      <c r="I24" s="191">
        <v>2653.4294994035099</v>
      </c>
      <c r="J24" s="209">
        <v>0.38911725878833131</v>
      </c>
    </row>
    <row r="25" spans="2:18" x14ac:dyDescent="0.25">
      <c r="B25" s="205" t="s">
        <v>6</v>
      </c>
      <c r="C25" s="189">
        <v>295.17</v>
      </c>
      <c r="D25" s="185">
        <v>0.39988890845785974</v>
      </c>
      <c r="E25" s="162">
        <v>437.8</v>
      </c>
      <c r="F25" s="185">
        <v>0.51732287186274051</v>
      </c>
      <c r="G25" s="189">
        <v>159.91</v>
      </c>
      <c r="H25" s="185">
        <v>0.40016516103200617</v>
      </c>
      <c r="I25" s="191">
        <v>893.79721178032048</v>
      </c>
      <c r="J25" s="209">
        <v>0.45049808559405674</v>
      </c>
    </row>
    <row r="26" spans="2:18" x14ac:dyDescent="0.25">
      <c r="B26" s="205" t="s">
        <v>7</v>
      </c>
      <c r="C26" s="189">
        <v>544.21</v>
      </c>
      <c r="D26" s="185">
        <v>0.26843681097798583</v>
      </c>
      <c r="E26" s="162">
        <v>537.84</v>
      </c>
      <c r="F26" s="185">
        <v>0.32039459575380658</v>
      </c>
      <c r="G26" s="189">
        <v>420.06</v>
      </c>
      <c r="H26" s="185">
        <v>0.4075719941007529</v>
      </c>
      <c r="I26" s="191">
        <v>1502.6988314067319</v>
      </c>
      <c r="J26" s="209">
        <v>0.31724928618469417</v>
      </c>
    </row>
    <row r="27" spans="2:18" x14ac:dyDescent="0.25">
      <c r="B27" s="206" t="s">
        <v>8</v>
      </c>
      <c r="C27" s="145">
        <v>2152.5</v>
      </c>
      <c r="D27" s="144">
        <v>0.3166367804695786</v>
      </c>
      <c r="E27" s="164">
        <v>2115.75</v>
      </c>
      <c r="F27" s="144">
        <v>0.39439321324915133</v>
      </c>
      <c r="G27" s="145">
        <v>1030.6099999999999</v>
      </c>
      <c r="H27" s="144">
        <v>0.41746735150199288</v>
      </c>
      <c r="I27" s="145">
        <v>5301.9471530497458</v>
      </c>
      <c r="J27" s="144">
        <v>0.36237020312957469</v>
      </c>
    </row>
    <row r="28" spans="2:18" x14ac:dyDescent="0.25">
      <c r="B28" s="205">
        <v>2011</v>
      </c>
      <c r="C28" s="189"/>
      <c r="D28" s="185"/>
      <c r="E28" s="162"/>
      <c r="F28" s="158"/>
      <c r="G28" s="189"/>
      <c r="H28" s="207"/>
      <c r="I28" s="211"/>
      <c r="J28" s="212"/>
    </row>
    <row r="29" spans="2:18" x14ac:dyDescent="0.25">
      <c r="B29" s="205" t="s">
        <v>5</v>
      </c>
      <c r="C29" s="189">
        <v>133.77000000000001</v>
      </c>
      <c r="D29" s="185">
        <v>0.39740352336531892</v>
      </c>
      <c r="E29" s="162">
        <v>36.35</v>
      </c>
      <c r="F29" s="185">
        <v>0.39455117768370784</v>
      </c>
      <c r="G29" s="189">
        <v>33.880000000000003</v>
      </c>
      <c r="H29" s="185">
        <v>0.45041212443499073</v>
      </c>
      <c r="I29" s="191">
        <v>204.79195470104901</v>
      </c>
      <c r="J29" s="209">
        <v>0.40636549468419914</v>
      </c>
    </row>
    <row r="30" spans="2:18" x14ac:dyDescent="0.25">
      <c r="B30" s="205" t="s">
        <v>51</v>
      </c>
      <c r="C30" s="189">
        <v>1059.1199999999999</v>
      </c>
      <c r="D30" s="185">
        <v>0.32148125663985427</v>
      </c>
      <c r="E30" s="162">
        <v>975.16</v>
      </c>
      <c r="F30" s="185">
        <v>0.45357122923217175</v>
      </c>
      <c r="G30" s="189">
        <v>403.61</v>
      </c>
      <c r="H30" s="185">
        <v>0.51857229124641857</v>
      </c>
      <c r="I30" s="191">
        <v>2438.6650524858719</v>
      </c>
      <c r="J30" s="209">
        <v>0.39189381135505119</v>
      </c>
    </row>
    <row r="31" spans="2:18" x14ac:dyDescent="0.25">
      <c r="B31" s="205" t="s">
        <v>6</v>
      </c>
      <c r="C31" s="189">
        <v>221.02</v>
      </c>
      <c r="D31" s="185">
        <v>0.35036380641377235</v>
      </c>
      <c r="E31" s="162">
        <v>334.38</v>
      </c>
      <c r="F31" s="185">
        <v>0.48003100864222342</v>
      </c>
      <c r="G31" s="189">
        <v>124.27</v>
      </c>
      <c r="H31" s="185">
        <v>0.32082096295340129</v>
      </c>
      <c r="I31" s="191">
        <v>680.50039481505598</v>
      </c>
      <c r="J31" s="209">
        <v>0.39684876881607684</v>
      </c>
    </row>
    <row r="32" spans="2:18" x14ac:dyDescent="0.25">
      <c r="B32" s="205" t="s">
        <v>7</v>
      </c>
      <c r="C32" s="189">
        <v>467.3</v>
      </c>
      <c r="D32" s="185">
        <v>0.26665373246750285</v>
      </c>
      <c r="E32" s="162">
        <v>450.33</v>
      </c>
      <c r="F32" s="185">
        <v>0.316877176934173</v>
      </c>
      <c r="G32" s="189">
        <v>401.36</v>
      </c>
      <c r="H32" s="185">
        <v>0.41508005617687027</v>
      </c>
      <c r="I32" s="191">
        <v>1319.5735309094016</v>
      </c>
      <c r="J32" s="209">
        <v>0.31869476729922297</v>
      </c>
    </row>
    <row r="33" spans="2:10" x14ac:dyDescent="0.25">
      <c r="B33" s="206" t="s">
        <v>8</v>
      </c>
      <c r="C33" s="145">
        <v>1881.2099999999998</v>
      </c>
      <c r="D33" s="144">
        <v>0.30949098446959722</v>
      </c>
      <c r="E33" s="164">
        <v>1796.2199999999998</v>
      </c>
      <c r="F33" s="144">
        <v>0.38796756677365424</v>
      </c>
      <c r="G33" s="145">
        <v>963.12</v>
      </c>
      <c r="H33" s="144">
        <v>0.41091787530303014</v>
      </c>
      <c r="I33" s="145">
        <v>4643.5309329113788</v>
      </c>
      <c r="J33" s="144">
        <v>0.35577034687982084</v>
      </c>
    </row>
    <row r="34" spans="2:10" x14ac:dyDescent="0.25">
      <c r="B34" s="205">
        <v>2010</v>
      </c>
      <c r="C34" s="189"/>
      <c r="D34" s="185"/>
      <c r="E34" s="162"/>
      <c r="F34" s="158"/>
      <c r="G34" s="189"/>
      <c r="H34" s="207"/>
      <c r="I34" s="162"/>
      <c r="J34" s="210"/>
    </row>
    <row r="35" spans="2:10" x14ac:dyDescent="0.25">
      <c r="B35" s="205" t="s">
        <v>5</v>
      </c>
      <c r="C35" s="213">
        <v>112.2</v>
      </c>
      <c r="D35" s="208">
        <v>0.3844045498149925</v>
      </c>
      <c r="E35" s="214">
        <v>26.41</v>
      </c>
      <c r="F35" s="208">
        <v>0.32564734895191122</v>
      </c>
      <c r="G35" s="213">
        <v>20.010000000000002</v>
      </c>
      <c r="H35" s="208">
        <v>0.65094339622641517</v>
      </c>
      <c r="I35" s="179">
        <v>158.62</v>
      </c>
      <c r="J35" s="209">
        <v>0.39465483973735976</v>
      </c>
    </row>
    <row r="36" spans="2:10" x14ac:dyDescent="0.25">
      <c r="B36" s="205" t="s">
        <v>51</v>
      </c>
      <c r="C36" s="213">
        <v>1038.71</v>
      </c>
      <c r="D36" s="208">
        <v>0.31726992272213567</v>
      </c>
      <c r="E36" s="214">
        <v>941.98</v>
      </c>
      <c r="F36" s="208">
        <v>0.44121049747305613</v>
      </c>
      <c r="G36" s="213">
        <v>430.72</v>
      </c>
      <c r="H36" s="208">
        <v>0.59458862506902266</v>
      </c>
      <c r="I36" s="179">
        <v>2411.41</v>
      </c>
      <c r="J36" s="209">
        <v>0.39329111788619081</v>
      </c>
    </row>
    <row r="37" spans="2:10" x14ac:dyDescent="0.25">
      <c r="B37" s="205" t="s">
        <v>6</v>
      </c>
      <c r="C37" s="213">
        <v>200.02</v>
      </c>
      <c r="D37" s="208">
        <v>0.34708219819882352</v>
      </c>
      <c r="E37" s="214">
        <v>238.86</v>
      </c>
      <c r="F37" s="208">
        <v>0.45798101811906822</v>
      </c>
      <c r="G37" s="213">
        <v>129.97999999999999</v>
      </c>
      <c r="H37" s="208">
        <v>0.3323531667902529</v>
      </c>
      <c r="I37" s="179">
        <v>568.86</v>
      </c>
      <c r="J37" s="209">
        <v>0.38260029901762871</v>
      </c>
    </row>
    <row r="38" spans="2:10" x14ac:dyDescent="0.25">
      <c r="B38" s="205" t="s">
        <v>7</v>
      </c>
      <c r="C38" s="213">
        <v>319.52999999999997</v>
      </c>
      <c r="D38" s="208">
        <v>0.24624881511109056</v>
      </c>
      <c r="E38" s="214">
        <v>383.37</v>
      </c>
      <c r="F38" s="208">
        <v>0.32720801611416472</v>
      </c>
      <c r="G38" s="213">
        <v>360.32</v>
      </c>
      <c r="H38" s="208">
        <v>0.36181429303021478</v>
      </c>
      <c r="I38" s="179">
        <v>1063.22</v>
      </c>
      <c r="J38" s="209">
        <v>0.30700223855912528</v>
      </c>
    </row>
    <row r="39" spans="2:10" x14ac:dyDescent="0.25">
      <c r="B39" s="206" t="s">
        <v>8</v>
      </c>
      <c r="C39" s="145">
        <v>1670.46</v>
      </c>
      <c r="D39" s="144">
        <v>0.3070890460065519</v>
      </c>
      <c r="E39" s="164">
        <v>1590.62</v>
      </c>
      <c r="F39" s="144">
        <v>0.40688310891008062</v>
      </c>
      <c r="G39" s="145">
        <v>941.03</v>
      </c>
      <c r="H39" s="144">
        <v>0.43930255356892767</v>
      </c>
      <c r="I39" s="145">
        <v>4202.1099999999997</v>
      </c>
      <c r="J39" s="144">
        <v>0.36593354930158678</v>
      </c>
    </row>
    <row r="40" spans="2:10" x14ac:dyDescent="0.25">
      <c r="B40" s="205">
        <v>2009</v>
      </c>
      <c r="C40" s="189"/>
      <c r="D40" s="185"/>
      <c r="E40" s="162"/>
      <c r="F40" s="158"/>
      <c r="G40" s="189"/>
      <c r="H40" s="207"/>
      <c r="I40" s="162"/>
      <c r="J40" s="210"/>
    </row>
    <row r="41" spans="2:10" x14ac:dyDescent="0.25">
      <c r="B41" s="205" t="s">
        <v>5</v>
      </c>
      <c r="C41" s="213">
        <v>107.64</v>
      </c>
      <c r="D41" s="208">
        <v>0.4006401905683552</v>
      </c>
      <c r="E41" s="214">
        <v>30.33</v>
      </c>
      <c r="F41" s="208">
        <v>0.38242340184087753</v>
      </c>
      <c r="G41" s="213">
        <v>17.29</v>
      </c>
      <c r="H41" s="208">
        <v>0.63194444444444442</v>
      </c>
      <c r="I41" s="179">
        <v>156.71866455729281</v>
      </c>
      <c r="J41" s="209">
        <v>0.41573790054992588</v>
      </c>
    </row>
    <row r="42" spans="2:10" x14ac:dyDescent="0.25">
      <c r="B42" s="205" t="s">
        <v>51</v>
      </c>
      <c r="C42" s="213">
        <v>961.35</v>
      </c>
      <c r="D42" s="208">
        <v>0.31968276137270552</v>
      </c>
      <c r="E42" s="214">
        <v>847.53</v>
      </c>
      <c r="F42" s="208">
        <v>0.42974272125262397</v>
      </c>
      <c r="G42" s="213">
        <v>392.68</v>
      </c>
      <c r="H42" s="208">
        <v>0.59652427538433495</v>
      </c>
      <c r="I42" s="179">
        <v>2203.1008977480037</v>
      </c>
      <c r="J42" s="209">
        <v>0.39064246965631577</v>
      </c>
    </row>
    <row r="43" spans="2:10" x14ac:dyDescent="0.25">
      <c r="B43" s="205" t="s">
        <v>6</v>
      </c>
      <c r="C43" s="213">
        <v>193.29</v>
      </c>
      <c r="D43" s="208">
        <v>0.33936127253893283</v>
      </c>
      <c r="E43" s="214">
        <v>218.36</v>
      </c>
      <c r="F43" s="208">
        <v>0.4563045931374598</v>
      </c>
      <c r="G43" s="213">
        <v>131.35</v>
      </c>
      <c r="H43" s="208">
        <v>0.3098315799405576</v>
      </c>
      <c r="I43" s="179">
        <v>544.52267501224628</v>
      </c>
      <c r="J43" s="209">
        <v>0.369413855416376</v>
      </c>
    </row>
    <row r="44" spans="2:10" x14ac:dyDescent="0.25">
      <c r="B44" s="205" t="s">
        <v>7</v>
      </c>
      <c r="C44" s="213">
        <v>263.52</v>
      </c>
      <c r="D44" s="208">
        <v>0.26006118622323104</v>
      </c>
      <c r="E44" s="214">
        <v>333.43</v>
      </c>
      <c r="F44" s="208">
        <v>0.30936166264613102</v>
      </c>
      <c r="G44" s="213">
        <v>316.07</v>
      </c>
      <c r="H44" s="208">
        <v>0.37021376281112739</v>
      </c>
      <c r="I44" s="179">
        <v>914.1069209820912</v>
      </c>
      <c r="J44" s="209">
        <v>0.31023292284797849</v>
      </c>
    </row>
    <row r="45" spans="2:10" x14ac:dyDescent="0.25">
      <c r="B45" s="206" t="s">
        <v>8</v>
      </c>
      <c r="C45" s="145">
        <v>1525.8</v>
      </c>
      <c r="D45" s="144">
        <v>0.31403203299620891</v>
      </c>
      <c r="E45" s="164">
        <v>1429.65</v>
      </c>
      <c r="F45" s="144">
        <v>0.39626312769725852</v>
      </c>
      <c r="G45" s="145">
        <v>857.3900000000001</v>
      </c>
      <c r="H45" s="144">
        <v>0.43670192988443113</v>
      </c>
      <c r="I45" s="164">
        <v>3818.4491582996338</v>
      </c>
      <c r="J45" s="144">
        <v>0.36584603666282317</v>
      </c>
    </row>
    <row r="46" spans="2:10" x14ac:dyDescent="0.25">
      <c r="B46" s="14" t="s">
        <v>590</v>
      </c>
      <c r="E46" s="147"/>
    </row>
    <row r="47" spans="2:10" x14ac:dyDescent="0.25">
      <c r="B47" s="14" t="s">
        <v>666</v>
      </c>
    </row>
    <row r="49" spans="2:22" x14ac:dyDescent="0.25">
      <c r="B49" s="658" t="s">
        <v>444</v>
      </c>
      <c r="C49" s="644"/>
      <c r="D49" s="644"/>
      <c r="E49" s="644"/>
      <c r="F49" s="644"/>
      <c r="G49" s="644"/>
      <c r="H49" s="644"/>
      <c r="I49" s="644"/>
      <c r="J49" s="644"/>
      <c r="K49" s="644"/>
      <c r="L49" s="644"/>
      <c r="M49" s="644"/>
      <c r="N49" s="659"/>
      <c r="O49"/>
      <c r="P49"/>
      <c r="Q49"/>
      <c r="R49"/>
      <c r="S49"/>
      <c r="T49"/>
      <c r="U49"/>
      <c r="V49"/>
    </row>
    <row r="50" spans="2:22" ht="15.75" thickBot="1" x14ac:dyDescent="0.3">
      <c r="B50" s="194"/>
      <c r="C50" s="187" t="s">
        <v>67</v>
      </c>
      <c r="D50" s="188" t="s">
        <v>411</v>
      </c>
      <c r="E50" s="160" t="s">
        <v>68</v>
      </c>
      <c r="F50" s="160" t="s">
        <v>411</v>
      </c>
      <c r="G50" s="187" t="s">
        <v>69</v>
      </c>
      <c r="H50" s="188" t="s">
        <v>411</v>
      </c>
      <c r="I50" s="160" t="s">
        <v>70</v>
      </c>
      <c r="J50" s="160" t="s">
        <v>411</v>
      </c>
      <c r="K50" s="187" t="s">
        <v>71</v>
      </c>
      <c r="L50" s="188" t="s">
        <v>411</v>
      </c>
      <c r="M50" s="160" t="s">
        <v>126</v>
      </c>
      <c r="N50" s="184" t="s">
        <v>411</v>
      </c>
      <c r="O50"/>
      <c r="P50"/>
      <c r="Q50"/>
      <c r="R50"/>
      <c r="S50"/>
      <c r="T50"/>
      <c r="U50"/>
      <c r="V50"/>
    </row>
    <row r="51" spans="2:22" ht="15.75" thickTop="1" x14ac:dyDescent="0.25">
      <c r="B51" s="205" t="s">
        <v>447</v>
      </c>
      <c r="C51" s="189"/>
      <c r="D51" s="141"/>
      <c r="E51" s="162"/>
      <c r="F51" s="162"/>
      <c r="G51" s="189"/>
      <c r="H51" s="141"/>
      <c r="I51" s="162"/>
      <c r="J51" s="162"/>
      <c r="K51" s="189"/>
      <c r="L51" s="141"/>
      <c r="M51" s="179"/>
      <c r="N51" s="192"/>
      <c r="O51"/>
      <c r="P51"/>
      <c r="Q51"/>
      <c r="R51"/>
      <c r="S51"/>
      <c r="T51"/>
      <c r="U51"/>
      <c r="V51"/>
    </row>
    <row r="52" spans="2:22" x14ac:dyDescent="0.25">
      <c r="B52" s="205" t="s">
        <v>5</v>
      </c>
      <c r="C52" s="189">
        <v>35.186869999999999</v>
      </c>
      <c r="D52" s="185">
        <f>C52/D.1!C9</f>
        <v>0.21667738501260259</v>
      </c>
      <c r="E52" s="162">
        <v>94.524029999999996</v>
      </c>
      <c r="F52" s="185">
        <f>E52/D.1!D9</f>
        <v>0.42065655886115266</v>
      </c>
      <c r="G52" s="189">
        <v>221.17070000000001</v>
      </c>
      <c r="H52" s="185">
        <f>G52/D.1!E9</f>
        <v>0.41624330287874334</v>
      </c>
      <c r="I52" s="162">
        <v>105.765</v>
      </c>
      <c r="J52" s="185">
        <f>I52/D.1!F9</f>
        <v>0.43664625702010573</v>
      </c>
      <c r="K52" s="189">
        <v>81.914159999999995</v>
      </c>
      <c r="L52" s="185">
        <f>K52/D.1!G9</f>
        <v>0.38767983951257823</v>
      </c>
      <c r="M52" s="179">
        <f>SUM(C52,E52,G52,I52,K52)</f>
        <v>538.56075999999996</v>
      </c>
      <c r="N52" s="209">
        <f>M52/D.1!H9</f>
        <v>0.39254758757212382</v>
      </c>
      <c r="O52"/>
      <c r="P52"/>
      <c r="Q52"/>
      <c r="R52"/>
      <c r="S52"/>
      <c r="T52"/>
      <c r="U52"/>
      <c r="V52"/>
    </row>
    <row r="53" spans="2:22" x14ac:dyDescent="0.25">
      <c r="B53" s="205" t="s">
        <v>51</v>
      </c>
      <c r="C53" s="189">
        <v>711.85490000000004</v>
      </c>
      <c r="D53" s="185">
        <f>C53/D.1!C10</f>
        <v>0.28204366629534705</v>
      </c>
      <c r="E53" s="162">
        <v>379.93990000000002</v>
      </c>
      <c r="F53" s="185">
        <f>E53/D.1!D10</f>
        <v>0.46098603842737385</v>
      </c>
      <c r="G53" s="189">
        <v>1364.759</v>
      </c>
      <c r="H53" s="185">
        <f>G53/D.1!E10</f>
        <v>0.45502393889078036</v>
      </c>
      <c r="I53" s="162">
        <v>303.69060000000002</v>
      </c>
      <c r="J53" s="185">
        <f>I53/D.1!F10</f>
        <v>0.51620940828806505</v>
      </c>
      <c r="K53" s="189">
        <v>211.58029999999999</v>
      </c>
      <c r="L53" s="185">
        <f>K53/D.1!G10</f>
        <v>0.49712758967557635</v>
      </c>
      <c r="M53" s="179">
        <f t="shared" ref="M53:M56" si="1">SUM(C53,E53,G53,I53,K53)</f>
        <v>2971.8247000000001</v>
      </c>
      <c r="N53" s="209">
        <f>M53/D.1!H10</f>
        <v>0.4037073568906886</v>
      </c>
      <c r="O53"/>
      <c r="P53"/>
      <c r="Q53"/>
      <c r="R53"/>
      <c r="S53"/>
      <c r="T53"/>
      <c r="U53"/>
      <c r="V53"/>
    </row>
    <row r="54" spans="2:22" x14ac:dyDescent="0.25">
      <c r="B54" s="205" t="s">
        <v>6</v>
      </c>
      <c r="C54" s="189">
        <v>69.645830000000004</v>
      </c>
      <c r="D54" s="185">
        <f>C54/D.1!C11</f>
        <v>0.30827483134354178</v>
      </c>
      <c r="E54" s="162">
        <v>60.333320000000001</v>
      </c>
      <c r="F54" s="185">
        <f>E54/D.1!D11</f>
        <v>0.44480319345368302</v>
      </c>
      <c r="G54" s="189">
        <v>329.27749999999997</v>
      </c>
      <c r="H54" s="185">
        <f>G54/D.1!E11</f>
        <v>0.44459501068121021</v>
      </c>
      <c r="I54" s="162">
        <v>145.7175</v>
      </c>
      <c r="J54" s="185">
        <f>I54/D.1!F11</f>
        <v>0.40373882978154818</v>
      </c>
      <c r="K54" s="189">
        <v>31.195830000000001</v>
      </c>
      <c r="L54" s="185">
        <f>K54/D.1!G11</f>
        <v>0.41047152298159634</v>
      </c>
      <c r="M54" s="179">
        <f t="shared" si="1"/>
        <v>636.16998000000001</v>
      </c>
      <c r="N54" s="209">
        <f>M54/D.1!H11</f>
        <v>0.41333750783632989</v>
      </c>
      <c r="O54"/>
      <c r="P54"/>
      <c r="Q54"/>
      <c r="R54"/>
      <c r="S54"/>
      <c r="T54"/>
      <c r="U54"/>
      <c r="V54"/>
    </row>
    <row r="55" spans="2:22" x14ac:dyDescent="0.25">
      <c r="B55" s="205" t="s">
        <v>7</v>
      </c>
      <c r="C55" s="189">
        <v>58.057490000000001</v>
      </c>
      <c r="D55" s="185">
        <f>C55/D.1!C12</f>
        <v>0.36111760392751224</v>
      </c>
      <c r="E55" s="162">
        <v>101.7499</v>
      </c>
      <c r="F55" s="185">
        <f>E55/D.1!D12</f>
        <v>0.27295031475038284</v>
      </c>
      <c r="G55" s="189">
        <v>622.86</v>
      </c>
      <c r="H55" s="185">
        <f>G55/D.1!E12</f>
        <v>0.2864964408026382</v>
      </c>
      <c r="I55" s="162">
        <v>263.64980000000003</v>
      </c>
      <c r="J55" s="185">
        <f>I55/D.1!F12</f>
        <v>0.3562209356041004</v>
      </c>
      <c r="K55" s="189">
        <v>698.63789999999995</v>
      </c>
      <c r="L55" s="185">
        <f>K55/D.1!G12</f>
        <v>0.42026456141512647</v>
      </c>
      <c r="M55" s="179">
        <f t="shared" si="1"/>
        <v>1744.9550900000002</v>
      </c>
      <c r="N55" s="209">
        <f>M55/D.1!H12</f>
        <v>0.34147083021881419</v>
      </c>
      <c r="O55"/>
      <c r="P55"/>
      <c r="Q55"/>
      <c r="R55"/>
      <c r="S55"/>
      <c r="T55"/>
      <c r="U55"/>
      <c r="V55"/>
    </row>
    <row r="56" spans="2:22" x14ac:dyDescent="0.25">
      <c r="B56" s="206" t="s">
        <v>8</v>
      </c>
      <c r="C56" s="145">
        <f>SUM(C52:C55)</f>
        <v>874.74509000000012</v>
      </c>
      <c r="D56" s="144">
        <f>C56/D.9!K20</f>
        <v>0.28465479538595012</v>
      </c>
      <c r="E56" s="164">
        <f>SUM(E52:E55)</f>
        <v>636.54714999999999</v>
      </c>
      <c r="F56" s="144">
        <f>E56/D.9!L20</f>
        <v>0.4087467881472055</v>
      </c>
      <c r="G56" s="145">
        <f>SUM(G52:G55)</f>
        <v>2538.0672</v>
      </c>
      <c r="H56" s="144">
        <f>G56/D.9!M20</f>
        <v>0.39378304772217437</v>
      </c>
      <c r="I56" s="164">
        <f>SUM(I52:I55)</f>
        <v>818.8229</v>
      </c>
      <c r="J56" s="144">
        <f>I56/D.9!N20</f>
        <v>0.42391345182264784</v>
      </c>
      <c r="K56" s="145">
        <f>SUM(K52:K55)</f>
        <v>1023.3281899999999</v>
      </c>
      <c r="L56" s="144">
        <f>K56/D.9!O20</f>
        <v>0.43082507705548712</v>
      </c>
      <c r="M56" s="145">
        <f t="shared" si="1"/>
        <v>5891.5105300000005</v>
      </c>
      <c r="N56" s="144">
        <f>M56/D.9!P20</f>
        <v>0.3830004232201395</v>
      </c>
      <c r="O56"/>
      <c r="P56"/>
      <c r="Q56"/>
      <c r="R56"/>
      <c r="S56"/>
      <c r="T56"/>
      <c r="U56"/>
      <c r="V56"/>
    </row>
    <row r="57" spans="2:22" x14ac:dyDescent="0.25">
      <c r="B57" s="205">
        <v>2013</v>
      </c>
      <c r="C57" s="189"/>
      <c r="D57" s="141"/>
      <c r="E57" s="162"/>
      <c r="F57" s="162"/>
      <c r="G57" s="189"/>
      <c r="H57" s="141"/>
      <c r="I57" s="162"/>
      <c r="J57" s="162"/>
      <c r="K57" s="189"/>
      <c r="L57" s="141"/>
      <c r="M57" s="179"/>
      <c r="N57" s="192"/>
      <c r="O57"/>
      <c r="P57"/>
      <c r="Q57"/>
      <c r="R57"/>
      <c r="S57"/>
      <c r="T57"/>
      <c r="U57"/>
      <c r="V57"/>
    </row>
    <row r="58" spans="2:22" x14ac:dyDescent="0.25">
      <c r="B58" s="205" t="s">
        <v>5</v>
      </c>
      <c r="C58" s="189">
        <f>45.34</f>
        <v>45.34</v>
      </c>
      <c r="D58" s="185">
        <f>C58/D.1!C16</f>
        <v>0.29832872746414008</v>
      </c>
      <c r="E58" s="162">
        <v>99.766670000000005</v>
      </c>
      <c r="F58" s="185">
        <f>E58/D.1!D16</f>
        <v>0.37584450109202627</v>
      </c>
      <c r="G58" s="189">
        <v>246.54079999999999</v>
      </c>
      <c r="H58" s="185">
        <f>G58/D.1!E16</f>
        <v>0.48087616155966695</v>
      </c>
      <c r="I58" s="162">
        <v>89.295000000000002</v>
      </c>
      <c r="J58" s="185">
        <f>I58/D.1!F16</f>
        <v>0.48070521735315724</v>
      </c>
      <c r="K58" s="189">
        <v>95.41</v>
      </c>
      <c r="L58" s="185">
        <f>K58/D.1!G16</f>
        <v>0.35794410054398795</v>
      </c>
      <c r="M58" s="179">
        <f>SUM(C58,E58,G58,I58,K58)</f>
        <v>576.35247000000004</v>
      </c>
      <c r="N58" s="209">
        <f>M58/D.1!H16</f>
        <v>0.41691384528776221</v>
      </c>
      <c r="O58"/>
      <c r="P58"/>
      <c r="Q58"/>
      <c r="R58"/>
      <c r="S58"/>
      <c r="T58"/>
      <c r="U58"/>
      <c r="V58"/>
    </row>
    <row r="59" spans="2:22" x14ac:dyDescent="0.25">
      <c r="B59" s="205" t="s">
        <v>51</v>
      </c>
      <c r="C59" s="189">
        <v>653.52030000000002</v>
      </c>
      <c r="D59" s="185">
        <f>C59/D.1!C17</f>
        <v>0.29197900832198093</v>
      </c>
      <c r="E59" s="162">
        <v>365.39729999999997</v>
      </c>
      <c r="F59" s="185">
        <f>E59/D.1!D17</f>
        <v>0.4632967726843073</v>
      </c>
      <c r="G59" s="189">
        <v>1181.9770000000001</v>
      </c>
      <c r="H59" s="185">
        <f>G59/D.1!E17</f>
        <v>0.48087196558446443</v>
      </c>
      <c r="I59" s="162">
        <v>266.82040000000001</v>
      </c>
      <c r="J59" s="185">
        <f>I59/D.1!F17</f>
        <v>0.58074713602735251</v>
      </c>
      <c r="K59" s="189">
        <v>416.685</v>
      </c>
      <c r="L59" s="185">
        <f>K59/D.1!G17</f>
        <v>0.57275009321097636</v>
      </c>
      <c r="M59" s="179">
        <f t="shared" ref="M59:M62" si="2">SUM(C59,E59,G59,I59,K59)</f>
        <v>2884.4</v>
      </c>
      <c r="N59" s="209">
        <f>M59/D.1!H17</f>
        <v>0.43232191615533605</v>
      </c>
      <c r="O59"/>
      <c r="P59"/>
      <c r="Q59"/>
      <c r="R59"/>
      <c r="S59"/>
      <c r="T59"/>
      <c r="U59"/>
      <c r="V59"/>
    </row>
    <row r="60" spans="2:22" x14ac:dyDescent="0.25">
      <c r="B60" s="205" t="s">
        <v>6</v>
      </c>
      <c r="C60" s="189">
        <v>63.187919999999998</v>
      </c>
      <c r="D60" s="185">
        <f>C60/D.1!C18</f>
        <v>0.35998786517745757</v>
      </c>
      <c r="E60" s="162">
        <v>48.563330000000001</v>
      </c>
      <c r="F60" s="185">
        <f>E60/D.1!D18</f>
        <v>0.49894686552834844</v>
      </c>
      <c r="G60" s="189">
        <v>183.19290000000001</v>
      </c>
      <c r="H60" s="185">
        <f>G60/D.1!E18</f>
        <v>0.47018803758826799</v>
      </c>
      <c r="I60" s="162">
        <v>37.97</v>
      </c>
      <c r="J60" s="185">
        <f>I60/D.1!F18</f>
        <v>0.60279409430068265</v>
      </c>
      <c r="K60" s="189">
        <v>31.25</v>
      </c>
      <c r="L60" s="185">
        <f>K60/D.1!G18</f>
        <v>0.46105045736205369</v>
      </c>
      <c r="M60" s="179">
        <f t="shared" si="2"/>
        <v>364.16415000000006</v>
      </c>
      <c r="N60" s="209">
        <f>M60/D.1!H18</f>
        <v>0.45908107511836715</v>
      </c>
      <c r="O60"/>
      <c r="P60"/>
      <c r="Q60"/>
      <c r="R60"/>
      <c r="S60"/>
      <c r="T60"/>
      <c r="U60"/>
      <c r="V60"/>
    </row>
    <row r="61" spans="2:22" x14ac:dyDescent="0.25">
      <c r="B61" s="205" t="s">
        <v>7</v>
      </c>
      <c r="C61" s="189">
        <v>55.43</v>
      </c>
      <c r="D61" s="185">
        <f>C61/D.1!C19</f>
        <v>0.3395197843929928</v>
      </c>
      <c r="E61" s="162">
        <v>93.96</v>
      </c>
      <c r="F61" s="185">
        <f>E61/D.1!D19</f>
        <v>0.28731309054215209</v>
      </c>
      <c r="G61" s="189">
        <v>628.1</v>
      </c>
      <c r="H61" s="185">
        <f>G61/D.1!E19</f>
        <v>0.32541062735133847</v>
      </c>
      <c r="I61" s="162">
        <v>247.18</v>
      </c>
      <c r="J61" s="185">
        <f>I61/D.1!F19</f>
        <v>0.44181099969614096</v>
      </c>
      <c r="K61" s="189">
        <v>328.82</v>
      </c>
      <c r="L61" s="185">
        <f>K61/D.1!G19</f>
        <v>0.35533510557824893</v>
      </c>
      <c r="M61" s="179">
        <f t="shared" si="2"/>
        <v>1353.49</v>
      </c>
      <c r="N61" s="209">
        <f>M61/D.1!H19</f>
        <v>0.34657624861804076</v>
      </c>
    </row>
    <row r="62" spans="2:22" x14ac:dyDescent="0.25">
      <c r="B62" s="206" t="s">
        <v>8</v>
      </c>
      <c r="C62" s="145">
        <f>SUM(C58:C61)</f>
        <v>817.47821999999996</v>
      </c>
      <c r="D62" s="144">
        <f>C62/SUM(D.1!C16:C19)</f>
        <v>0.29955097578120188</v>
      </c>
      <c r="E62" s="164">
        <f>SUM(E58:E61)</f>
        <v>607.68729999999994</v>
      </c>
      <c r="F62" s="144">
        <f>E62/SUM(D.1!D16:D19)</f>
        <v>0.41101669972000815</v>
      </c>
      <c r="G62" s="145">
        <f>SUM(G58:G61)</f>
        <v>2239.8107</v>
      </c>
      <c r="H62" s="144">
        <f>G62/SUM(D.1!E16:E19)</f>
        <v>0.42336700099474173</v>
      </c>
      <c r="I62" s="164">
        <f>SUM(I58:I61)</f>
        <v>641.2654</v>
      </c>
      <c r="J62" s="144">
        <f>I62/SUM(D.1!F16:F19)</f>
        <v>0.5058647877919612</v>
      </c>
      <c r="K62" s="145">
        <f>SUM(K58:K61)</f>
        <v>872.16499999999996</v>
      </c>
      <c r="L62" s="144">
        <f>K62/SUM(D.1!G16:G19)</f>
        <v>0.43888560751449407</v>
      </c>
      <c r="M62" s="145">
        <f t="shared" si="2"/>
        <v>5178.4066199999997</v>
      </c>
      <c r="N62" s="144">
        <f>M62/SUM(D.1!H16:H19)</f>
        <v>0.40605818502060975</v>
      </c>
    </row>
    <row r="63" spans="2:22" x14ac:dyDescent="0.25">
      <c r="B63" s="205">
        <v>2012</v>
      </c>
      <c r="C63" s="189"/>
      <c r="D63" s="185"/>
      <c r="E63" s="162"/>
      <c r="F63" s="158"/>
      <c r="G63" s="189"/>
      <c r="H63" s="207"/>
      <c r="I63" s="162"/>
      <c r="J63" s="158"/>
      <c r="K63" s="189"/>
      <c r="L63" s="207"/>
      <c r="M63" s="162"/>
      <c r="N63" s="210"/>
    </row>
    <row r="64" spans="2:22" x14ac:dyDescent="0.25">
      <c r="B64" s="205" t="s">
        <v>5</v>
      </c>
      <c r="C64" s="189">
        <v>14.17</v>
      </c>
      <c r="D64" s="185">
        <v>0.19190140845070422</v>
      </c>
      <c r="E64" s="162">
        <v>55.07</v>
      </c>
      <c r="F64" s="185">
        <v>0.41990087685855887</v>
      </c>
      <c r="G64" s="189">
        <v>126.8</v>
      </c>
      <c r="H64" s="185">
        <v>0.45415472779369626</v>
      </c>
      <c r="I64" s="162">
        <v>29.71</v>
      </c>
      <c r="J64" s="185">
        <v>0.41963276836158198</v>
      </c>
      <c r="K64" s="189">
        <v>25.44</v>
      </c>
      <c r="L64" s="185">
        <v>0.49359720605355067</v>
      </c>
      <c r="M64" s="179">
        <v>252.67558978146457</v>
      </c>
      <c r="N64" s="209">
        <v>0.41659207257920394</v>
      </c>
    </row>
    <row r="65" spans="2:14" x14ac:dyDescent="0.25">
      <c r="B65" s="205" t="s">
        <v>51</v>
      </c>
      <c r="C65" s="189">
        <v>629.79999999999995</v>
      </c>
      <c r="D65" s="185">
        <v>0.2744142880173589</v>
      </c>
      <c r="E65" s="162">
        <v>325.02999999999997</v>
      </c>
      <c r="F65" s="185">
        <v>0.43652211284062364</v>
      </c>
      <c r="G65" s="189">
        <v>945.4</v>
      </c>
      <c r="H65" s="185">
        <v>0.43572844172005348</v>
      </c>
      <c r="I65" s="162">
        <v>468.58</v>
      </c>
      <c r="J65" s="185">
        <v>0.45060101932878155</v>
      </c>
      <c r="K65" s="189">
        <v>283.89999999999998</v>
      </c>
      <c r="L65" s="185">
        <v>0.49821002386634838</v>
      </c>
      <c r="M65" s="179">
        <v>2654.3072658619067</v>
      </c>
      <c r="N65" s="209">
        <v>0.38924598053436765</v>
      </c>
    </row>
    <row r="66" spans="2:14" x14ac:dyDescent="0.25">
      <c r="B66" s="205" t="s">
        <v>6</v>
      </c>
      <c r="C66" s="189">
        <v>63.8</v>
      </c>
      <c r="D66" s="185">
        <v>0.22868203161403633</v>
      </c>
      <c r="E66" s="162">
        <v>93.18</v>
      </c>
      <c r="F66" s="185">
        <v>0.45856299212598434</v>
      </c>
      <c r="G66" s="189">
        <v>346.2</v>
      </c>
      <c r="H66" s="185">
        <v>0.50012279155771922</v>
      </c>
      <c r="I66" s="162">
        <v>224.35</v>
      </c>
      <c r="J66" s="185">
        <v>0.607303340371393</v>
      </c>
      <c r="K66" s="189">
        <v>165.4</v>
      </c>
      <c r="L66" s="185">
        <v>0.37575537280203553</v>
      </c>
      <c r="M66" s="179">
        <v>894.72467115566906</v>
      </c>
      <c r="N66" s="209">
        <v>0.45096555032493069</v>
      </c>
    </row>
    <row r="67" spans="2:14" x14ac:dyDescent="0.25">
      <c r="B67" s="205" t="s">
        <v>7</v>
      </c>
      <c r="C67" s="189">
        <v>49.6</v>
      </c>
      <c r="D67" s="185">
        <v>0.26683882074456639</v>
      </c>
      <c r="E67" s="162">
        <v>69.95</v>
      </c>
      <c r="F67" s="185">
        <v>0.25219021523596641</v>
      </c>
      <c r="G67" s="189">
        <v>603.29999999999995</v>
      </c>
      <c r="H67" s="185">
        <v>0.28028655851034173</v>
      </c>
      <c r="I67" s="162">
        <v>339.13</v>
      </c>
      <c r="J67" s="185">
        <v>0.34173056963492177</v>
      </c>
      <c r="K67" s="189">
        <v>440.1</v>
      </c>
      <c r="L67" s="185">
        <v>0.38996251893989742</v>
      </c>
      <c r="M67" s="179">
        <v>1503.2210461641257</v>
      </c>
      <c r="N67" s="209">
        <v>0.3173595359936085</v>
      </c>
    </row>
    <row r="68" spans="2:14" x14ac:dyDescent="0.25">
      <c r="B68" s="206" t="s">
        <v>8</v>
      </c>
      <c r="C68" s="145">
        <v>757.36999999999989</v>
      </c>
      <c r="D68" s="144">
        <v>0.26073231019216592</v>
      </c>
      <c r="E68" s="164">
        <v>543.23</v>
      </c>
      <c r="F68" s="144">
        <v>0.37900384424862732</v>
      </c>
      <c r="G68" s="145">
        <v>2021.7</v>
      </c>
      <c r="H68" s="144">
        <v>0.36861595348404708</v>
      </c>
      <c r="I68" s="164">
        <v>1061.77</v>
      </c>
      <c r="J68" s="144">
        <v>0.41097963623132866</v>
      </c>
      <c r="K68" s="145">
        <v>914.84</v>
      </c>
      <c r="L68" s="144">
        <v>0.41114002327953869</v>
      </c>
      <c r="M68" s="164">
        <v>5304.9285729631665</v>
      </c>
      <c r="N68" s="144">
        <v>0.36257397312358891</v>
      </c>
    </row>
    <row r="69" spans="2:14" x14ac:dyDescent="0.25">
      <c r="B69" s="205">
        <v>2011</v>
      </c>
      <c r="C69" s="189"/>
      <c r="D69" s="207"/>
      <c r="E69" s="162"/>
      <c r="F69" s="158"/>
      <c r="G69" s="189"/>
      <c r="H69" s="207"/>
      <c r="I69" s="162"/>
      <c r="J69" s="158"/>
      <c r="K69" s="189"/>
      <c r="L69" s="207"/>
      <c r="M69" s="162"/>
      <c r="N69" s="210"/>
    </row>
    <row r="70" spans="2:14" x14ac:dyDescent="0.25">
      <c r="B70" s="205" t="s">
        <v>5</v>
      </c>
      <c r="C70" s="189">
        <v>11.82</v>
      </c>
      <c r="D70" s="185">
        <v>0.19815590947191955</v>
      </c>
      <c r="E70" s="162">
        <v>48.17</v>
      </c>
      <c r="F70" s="185">
        <v>0.41985531247276214</v>
      </c>
      <c r="G70" s="189">
        <v>99.61</v>
      </c>
      <c r="H70" s="185">
        <v>0.43675187442451879</v>
      </c>
      <c r="I70" s="162">
        <v>26.03</v>
      </c>
      <c r="J70" s="185">
        <v>0.38949573544815208</v>
      </c>
      <c r="K70" s="189">
        <v>18.37</v>
      </c>
      <c r="L70" s="185">
        <v>0.52970011534025374</v>
      </c>
      <c r="M70" s="179">
        <v>205.44425883181736</v>
      </c>
      <c r="N70" s="209">
        <v>0.40765985163865659</v>
      </c>
    </row>
    <row r="71" spans="2:14" x14ac:dyDescent="0.25">
      <c r="B71" s="205" t="s">
        <v>51</v>
      </c>
      <c r="C71" s="189">
        <v>564.29999999999995</v>
      </c>
      <c r="D71" s="185">
        <v>0.26905637167255508</v>
      </c>
      <c r="E71" s="162">
        <v>293.42</v>
      </c>
      <c r="F71" s="185">
        <v>0.42668721916035313</v>
      </c>
      <c r="G71" s="189">
        <v>846.3</v>
      </c>
      <c r="H71" s="185">
        <v>0.44128459023573763</v>
      </c>
      <c r="I71" s="162">
        <v>457.5</v>
      </c>
      <c r="J71" s="185">
        <v>0.46221925863061863</v>
      </c>
      <c r="K71" s="189">
        <v>276.39999999999998</v>
      </c>
      <c r="L71" s="185">
        <v>0.52134221098892808</v>
      </c>
      <c r="M71" s="179">
        <v>2439.5192474396995</v>
      </c>
      <c r="N71" s="209">
        <v>0.39203108060232011</v>
      </c>
    </row>
    <row r="72" spans="2:14" x14ac:dyDescent="0.25">
      <c r="B72" s="205" t="s">
        <v>6</v>
      </c>
      <c r="C72" s="189">
        <v>59.3</v>
      </c>
      <c r="D72" s="185">
        <v>0.21984132868688364</v>
      </c>
      <c r="E72" s="162">
        <v>53.98</v>
      </c>
      <c r="F72" s="185">
        <v>0.38742553649608835</v>
      </c>
      <c r="G72" s="189">
        <v>271.39999999999998</v>
      </c>
      <c r="H72" s="185">
        <v>0.48339982901111417</v>
      </c>
      <c r="I72" s="162">
        <v>167.51</v>
      </c>
      <c r="J72" s="185">
        <v>0.55623443466710942</v>
      </c>
      <c r="K72" s="189">
        <v>127.5</v>
      </c>
      <c r="L72" s="185">
        <v>0.28774542992552471</v>
      </c>
      <c r="M72" s="179">
        <v>681.33690112886109</v>
      </c>
      <c r="N72" s="209">
        <v>0.39733659586697906</v>
      </c>
    </row>
    <row r="73" spans="2:14" x14ac:dyDescent="0.25">
      <c r="B73" s="205" t="s">
        <v>7</v>
      </c>
      <c r="C73" s="189">
        <v>41.97</v>
      </c>
      <c r="D73" s="185">
        <v>0.27415245933764448</v>
      </c>
      <c r="E73" s="162">
        <v>60.25</v>
      </c>
      <c r="F73" s="185">
        <v>0.26514984817145626</v>
      </c>
      <c r="G73" s="189">
        <v>510.2</v>
      </c>
      <c r="H73" s="185">
        <v>0.27478771544875713</v>
      </c>
      <c r="I73" s="162">
        <v>303.7</v>
      </c>
      <c r="J73" s="185">
        <v>0.34679242697604312</v>
      </c>
      <c r="K73" s="189">
        <v>402.9</v>
      </c>
      <c r="L73" s="185">
        <v>0.39200614911606457</v>
      </c>
      <c r="M73" s="179">
        <v>1320.180882449934</v>
      </c>
      <c r="N73" s="209">
        <v>0.31884145087035026</v>
      </c>
    </row>
    <row r="74" spans="2:14" x14ac:dyDescent="0.25">
      <c r="B74" s="206" t="s">
        <v>8</v>
      </c>
      <c r="C74" s="145">
        <v>677.39</v>
      </c>
      <c r="D74" s="144">
        <v>0.25592694602181487</v>
      </c>
      <c r="E74" s="164">
        <v>455.82000000000005</v>
      </c>
      <c r="F74" s="144">
        <v>0.36760863253653348</v>
      </c>
      <c r="G74" s="145">
        <v>1727.51</v>
      </c>
      <c r="H74" s="144">
        <v>0.36360777650974757</v>
      </c>
      <c r="I74" s="164">
        <v>954.74</v>
      </c>
      <c r="J74" s="144">
        <v>0.4073974508322985</v>
      </c>
      <c r="K74" s="145">
        <v>825.17</v>
      </c>
      <c r="L74" s="144">
        <v>0.39849039473811299</v>
      </c>
      <c r="M74" s="164">
        <v>4646.4812898503114</v>
      </c>
      <c r="N74" s="144">
        <v>0.35599639243152464</v>
      </c>
    </row>
    <row r="75" spans="2:14" x14ac:dyDescent="0.25">
      <c r="B75" s="205">
        <v>2010</v>
      </c>
      <c r="C75" s="189"/>
      <c r="D75" s="185"/>
      <c r="E75" s="162"/>
      <c r="F75" s="158"/>
      <c r="G75" s="189"/>
      <c r="H75" s="207"/>
      <c r="I75" s="162"/>
      <c r="J75" s="158"/>
      <c r="K75" s="189"/>
      <c r="L75" s="207"/>
      <c r="M75" s="162"/>
      <c r="N75" s="210"/>
    </row>
    <row r="76" spans="2:14" x14ac:dyDescent="0.25">
      <c r="B76" s="205" t="s">
        <v>5</v>
      </c>
      <c r="C76" s="213">
        <v>8.6300000000000008</v>
      </c>
      <c r="D76" s="208">
        <v>0.18599137931034485</v>
      </c>
      <c r="E76" s="214">
        <v>26.58</v>
      </c>
      <c r="F76" s="208">
        <v>0.39099735216240067</v>
      </c>
      <c r="G76" s="213">
        <v>91.78</v>
      </c>
      <c r="H76" s="208">
        <v>0.43386593552046898</v>
      </c>
      <c r="I76" s="214">
        <v>22.61</v>
      </c>
      <c r="J76" s="208">
        <v>0.37402812241521916</v>
      </c>
      <c r="K76" s="213">
        <v>9.02</v>
      </c>
      <c r="L76" s="208">
        <v>0.51988472622478377</v>
      </c>
      <c r="M76" s="179">
        <v>160.00488278940841</v>
      </c>
      <c r="N76" s="209">
        <v>0.3963263717165571</v>
      </c>
    </row>
    <row r="77" spans="2:14" x14ac:dyDescent="0.25">
      <c r="B77" s="205" t="s">
        <v>51</v>
      </c>
      <c r="C77" s="213">
        <v>508.93</v>
      </c>
      <c r="D77" s="208">
        <v>0.26383373596408466</v>
      </c>
      <c r="E77" s="214">
        <v>282.92</v>
      </c>
      <c r="F77" s="208">
        <v>0.40058901820859177</v>
      </c>
      <c r="G77" s="213">
        <v>891.2</v>
      </c>
      <c r="H77" s="208">
        <v>0.44243438199681284</v>
      </c>
      <c r="I77" s="214">
        <v>361.09</v>
      </c>
      <c r="J77" s="208">
        <v>0.46345282558751427</v>
      </c>
      <c r="K77" s="213">
        <v>367.27</v>
      </c>
      <c r="L77" s="208">
        <v>0.52123869942237544</v>
      </c>
      <c r="M77" s="179">
        <v>2412.980309961757</v>
      </c>
      <c r="N77" s="209">
        <v>0.39342348233358565</v>
      </c>
    </row>
    <row r="78" spans="2:14" x14ac:dyDescent="0.25">
      <c r="B78" s="205" t="s">
        <v>6</v>
      </c>
      <c r="C78" s="213">
        <v>66.239999999999995</v>
      </c>
      <c r="D78" s="208">
        <v>0.24821073931127513</v>
      </c>
      <c r="E78" s="214">
        <v>57.47</v>
      </c>
      <c r="F78" s="208">
        <v>0.42532563647128474</v>
      </c>
      <c r="G78" s="213">
        <v>206.5</v>
      </c>
      <c r="H78" s="208">
        <v>0.48217246129777946</v>
      </c>
      <c r="I78" s="214">
        <v>139.13999999999999</v>
      </c>
      <c r="J78" s="208">
        <v>0.41551693244938176</v>
      </c>
      <c r="K78" s="213">
        <v>99.51</v>
      </c>
      <c r="L78" s="208">
        <v>0.30730984219140856</v>
      </c>
      <c r="M78" s="179">
        <v>570.43122576952976</v>
      </c>
      <c r="N78" s="209">
        <v>0.38311487159875202</v>
      </c>
    </row>
    <row r="79" spans="2:14" x14ac:dyDescent="0.25">
      <c r="B79" s="205" t="s">
        <v>7</v>
      </c>
      <c r="C79" s="213">
        <v>35.590000000000003</v>
      </c>
      <c r="D79" s="208">
        <v>0.29122003109401856</v>
      </c>
      <c r="E79" s="214">
        <v>27.1</v>
      </c>
      <c r="F79" s="208">
        <v>0.16990595611285267</v>
      </c>
      <c r="G79" s="213">
        <v>422.05</v>
      </c>
      <c r="H79" s="208">
        <v>0.28150366511702363</v>
      </c>
      <c r="I79" s="214">
        <v>190.15</v>
      </c>
      <c r="J79" s="208">
        <v>0.35341238569623079</v>
      </c>
      <c r="K79" s="213">
        <v>388.33</v>
      </c>
      <c r="L79" s="208">
        <v>0.33883324026245987</v>
      </c>
      <c r="M79" s="179">
        <v>1064.31604203802</v>
      </c>
      <c r="N79" s="209">
        <v>0.30715305244813135</v>
      </c>
    </row>
    <row r="80" spans="2:14" x14ac:dyDescent="0.25">
      <c r="B80" s="206" t="s">
        <v>8</v>
      </c>
      <c r="C80" s="145">
        <v>619.3900000000001</v>
      </c>
      <c r="D80" s="144">
        <v>0.26195833298089211</v>
      </c>
      <c r="E80" s="164">
        <v>394.07000000000005</v>
      </c>
      <c r="F80" s="144">
        <v>0.3686825215650319</v>
      </c>
      <c r="G80" s="145">
        <v>1611.53</v>
      </c>
      <c r="H80" s="144">
        <v>0.38800353446221042</v>
      </c>
      <c r="I80" s="164">
        <v>712.9899999999999</v>
      </c>
      <c r="J80" s="144">
        <v>0.41634938802204985</v>
      </c>
      <c r="K80" s="145">
        <v>864.12999999999988</v>
      </c>
      <c r="L80" s="144">
        <v>0.39424686908319451</v>
      </c>
      <c r="M80" s="164">
        <v>4207.7324605587146</v>
      </c>
      <c r="N80" s="144">
        <v>0.3661750773262224</v>
      </c>
    </row>
    <row r="81" spans="2:23" x14ac:dyDescent="0.25">
      <c r="B81" s="205">
        <v>2009</v>
      </c>
      <c r="C81" s="189"/>
      <c r="D81" s="185"/>
      <c r="E81" s="162"/>
      <c r="F81" s="158"/>
      <c r="G81" s="189"/>
      <c r="H81" s="207"/>
      <c r="I81" s="162"/>
      <c r="J81" s="158"/>
      <c r="K81" s="189"/>
      <c r="L81" s="207"/>
      <c r="M81" s="162"/>
      <c r="N81" s="210"/>
    </row>
    <row r="82" spans="2:23" x14ac:dyDescent="0.25">
      <c r="B82" s="205" t="s">
        <v>5</v>
      </c>
      <c r="C82" s="213">
        <v>7.45</v>
      </c>
      <c r="D82" s="208">
        <v>0.17687559354226023</v>
      </c>
      <c r="E82" s="214">
        <v>25.53</v>
      </c>
      <c r="F82" s="208">
        <v>0.43359375</v>
      </c>
      <c r="G82" s="213">
        <v>92.04</v>
      </c>
      <c r="H82" s="208">
        <v>0.4629080118694362</v>
      </c>
      <c r="I82" s="214">
        <v>22.94</v>
      </c>
      <c r="J82" s="208">
        <v>0.38528720188108839</v>
      </c>
      <c r="K82" s="213">
        <v>7.3</v>
      </c>
      <c r="L82" s="208">
        <v>0.45710707576706322</v>
      </c>
      <c r="M82" s="179">
        <v>156.71866455729281</v>
      </c>
      <c r="N82" s="209">
        <v>0.41753787114960511</v>
      </c>
    </row>
    <row r="83" spans="2:23" x14ac:dyDescent="0.25">
      <c r="B83" s="205" t="s">
        <v>51</v>
      </c>
      <c r="C83" s="213">
        <v>471.2</v>
      </c>
      <c r="D83" s="208">
        <v>0.26713683959884116</v>
      </c>
      <c r="E83" s="214">
        <v>271.49</v>
      </c>
      <c r="F83" s="208">
        <v>0.41133602012060244</v>
      </c>
      <c r="G83" s="213">
        <v>794.72</v>
      </c>
      <c r="H83" s="208">
        <v>0.43228894691035685</v>
      </c>
      <c r="I83" s="214">
        <v>315.77999999999997</v>
      </c>
      <c r="J83" s="208">
        <v>0.43013594137357997</v>
      </c>
      <c r="K83" s="213">
        <v>348.37</v>
      </c>
      <c r="L83" s="208">
        <v>0.54330094664774409</v>
      </c>
      <c r="M83" s="179">
        <v>2203.1008977480037</v>
      </c>
      <c r="N83" s="209">
        <v>0.3907828598652639</v>
      </c>
    </row>
    <row r="84" spans="2:23" x14ac:dyDescent="0.25">
      <c r="B84" s="205" t="s">
        <v>6</v>
      </c>
      <c r="C84" s="213">
        <v>56.97</v>
      </c>
      <c r="D84" s="208">
        <v>0.22272176394698776</v>
      </c>
      <c r="E84" s="214">
        <v>51.98</v>
      </c>
      <c r="F84" s="208">
        <v>0.38846125102757639</v>
      </c>
      <c r="G84" s="213">
        <v>198.79</v>
      </c>
      <c r="H84" s="208">
        <v>0.49711170571907276</v>
      </c>
      <c r="I84" s="214">
        <v>130.19</v>
      </c>
      <c r="J84" s="208">
        <v>0.41438029155261313</v>
      </c>
      <c r="K84" s="213">
        <v>105.07</v>
      </c>
      <c r="L84" s="208">
        <v>0.28522178185569247</v>
      </c>
      <c r="M84" s="179">
        <v>544.52267501224628</v>
      </c>
      <c r="N84" s="209">
        <v>0.3699077307239878</v>
      </c>
    </row>
    <row r="85" spans="2:23" x14ac:dyDescent="0.25">
      <c r="B85" s="205" t="s">
        <v>7</v>
      </c>
      <c r="C85" s="213">
        <v>30.48</v>
      </c>
      <c r="D85" s="208">
        <v>0.25704165963906223</v>
      </c>
      <c r="E85" s="214">
        <v>29.35</v>
      </c>
      <c r="F85" s="208">
        <v>0.18212845175302514</v>
      </c>
      <c r="G85" s="213">
        <v>355.03</v>
      </c>
      <c r="H85" s="208">
        <v>0.29286380096843112</v>
      </c>
      <c r="I85" s="214">
        <v>179.91</v>
      </c>
      <c r="J85" s="208">
        <v>0.35488706973074269</v>
      </c>
      <c r="K85" s="213">
        <v>318.25</v>
      </c>
      <c r="L85" s="208">
        <v>0.33645205624273178</v>
      </c>
      <c r="M85" s="179">
        <v>914.1069209820912</v>
      </c>
      <c r="N85" s="209">
        <v>0.31040865272665541</v>
      </c>
    </row>
    <row r="86" spans="2:23" x14ac:dyDescent="0.25">
      <c r="B86" s="206" t="s">
        <v>8</v>
      </c>
      <c r="C86" s="145">
        <v>566.1</v>
      </c>
      <c r="D86" s="144">
        <v>0.25963364184224769</v>
      </c>
      <c r="E86" s="164">
        <v>378.35</v>
      </c>
      <c r="F86" s="144">
        <v>0.37317775629771371</v>
      </c>
      <c r="G86" s="145">
        <v>1440.58</v>
      </c>
      <c r="H86" s="144">
        <v>0.39474542320771416</v>
      </c>
      <c r="I86" s="164">
        <v>648.81999999999994</v>
      </c>
      <c r="J86" s="144">
        <v>0.4017933998427059</v>
      </c>
      <c r="K86" s="145">
        <v>778.99</v>
      </c>
      <c r="L86" s="144">
        <v>0.39513355584186338</v>
      </c>
      <c r="M86" s="164">
        <v>3818.4491582996338</v>
      </c>
      <c r="N86" s="144">
        <v>0.36610601811135612</v>
      </c>
    </row>
    <row r="87" spans="2:23" x14ac:dyDescent="0.25">
      <c r="B87" s="14" t="s">
        <v>427</v>
      </c>
    </row>
    <row r="88" spans="2:23" x14ac:dyDescent="0.25">
      <c r="B88" s="14" t="s">
        <v>667</v>
      </c>
    </row>
    <row r="89" spans="2:23" x14ac:dyDescent="0.25">
      <c r="B89" s="14"/>
    </row>
    <row r="90" spans="2:23" x14ac:dyDescent="0.25">
      <c r="B90" s="658" t="s">
        <v>445</v>
      </c>
      <c r="C90" s="644"/>
      <c r="D90" s="644"/>
      <c r="E90" s="644"/>
      <c r="F90" s="644"/>
      <c r="G90" s="644"/>
      <c r="H90" s="644"/>
      <c r="I90" s="644"/>
      <c r="J90" s="644"/>
      <c r="K90" s="644"/>
      <c r="L90" s="644"/>
      <c r="M90" s="644"/>
      <c r="N90" s="659"/>
    </row>
    <row r="91" spans="2:23" ht="15.75" thickBot="1" x14ac:dyDescent="0.3">
      <c r="B91" s="194"/>
      <c r="C91" s="187" t="s">
        <v>67</v>
      </c>
      <c r="D91" s="188" t="s">
        <v>411</v>
      </c>
      <c r="E91" s="160" t="s">
        <v>68</v>
      </c>
      <c r="F91" s="160" t="s">
        <v>411</v>
      </c>
      <c r="G91" s="187" t="s">
        <v>69</v>
      </c>
      <c r="H91" s="188" t="s">
        <v>411</v>
      </c>
      <c r="I91" s="160" t="s">
        <v>70</v>
      </c>
      <c r="J91" s="160" t="s">
        <v>411</v>
      </c>
      <c r="K91" s="187" t="s">
        <v>71</v>
      </c>
      <c r="L91" s="188" t="s">
        <v>411</v>
      </c>
      <c r="M91" s="160" t="s">
        <v>126</v>
      </c>
      <c r="N91" s="184" t="s">
        <v>411</v>
      </c>
      <c r="P91"/>
      <c r="Q91"/>
      <c r="R91"/>
      <c r="S91"/>
      <c r="T91"/>
      <c r="U91"/>
      <c r="V91"/>
      <c r="W91"/>
    </row>
    <row r="92" spans="2:23" ht="15.75" thickTop="1" x14ac:dyDescent="0.25">
      <c r="B92" s="205" t="s">
        <v>447</v>
      </c>
      <c r="C92" s="189"/>
      <c r="D92" s="141"/>
      <c r="E92" s="162"/>
      <c r="F92" s="162"/>
      <c r="G92" s="189"/>
      <c r="H92" s="141"/>
      <c r="I92" s="162"/>
      <c r="J92" s="162"/>
      <c r="K92" s="189"/>
      <c r="L92" s="141"/>
      <c r="M92" s="179"/>
      <c r="N92" s="192"/>
      <c r="P92"/>
      <c r="Q92"/>
      <c r="R92"/>
      <c r="S92"/>
      <c r="T92"/>
      <c r="U92"/>
      <c r="V92"/>
      <c r="W92"/>
    </row>
    <row r="93" spans="2:23" x14ac:dyDescent="0.25">
      <c r="B93" s="205" t="s">
        <v>5</v>
      </c>
      <c r="C93" s="189">
        <v>32.452500000000001</v>
      </c>
      <c r="D93" s="185">
        <f>C93/D.2!I9</f>
        <v>0.2061741746467079</v>
      </c>
      <c r="E93" s="162">
        <v>82.349029999999999</v>
      </c>
      <c r="F93" s="185">
        <f>E93/D.2!J9</f>
        <v>0.42401028128143609</v>
      </c>
      <c r="G93" s="189">
        <v>121.6035</v>
      </c>
      <c r="H93" s="185">
        <f>G93/D.2!K9</f>
        <v>0.36884384096574996</v>
      </c>
      <c r="I93" s="162">
        <v>41.8</v>
      </c>
      <c r="J93" s="185">
        <f>I93/D.2!L9</f>
        <v>0.63205645479867167</v>
      </c>
      <c r="K93" s="189">
        <v>6.5416660000000002</v>
      </c>
      <c r="L93" s="185">
        <f>K93/D.2!M9</f>
        <v>0.30485435680648432</v>
      </c>
      <c r="M93" s="179">
        <f>SUM(C93,E93,G93,I93,K93)</f>
        <v>284.74669600000004</v>
      </c>
      <c r="N93" s="209">
        <f>M93/D.2!N9</f>
        <v>0.37033091428639203</v>
      </c>
      <c r="P93"/>
      <c r="Q93"/>
      <c r="R93"/>
      <c r="S93"/>
      <c r="T93"/>
      <c r="U93"/>
      <c r="V93"/>
      <c r="W93"/>
    </row>
    <row r="94" spans="2:23" x14ac:dyDescent="0.25">
      <c r="B94" s="205" t="s">
        <v>51</v>
      </c>
      <c r="C94" s="189">
        <v>675.61350000000004</v>
      </c>
      <c r="D94" s="185">
        <f>C94/D.2!I10</f>
        <v>0.27927639946979804</v>
      </c>
      <c r="E94" s="162">
        <v>232.64279999999999</v>
      </c>
      <c r="F94" s="185">
        <f>E94/D.2!J10</f>
        <v>0.45610485421687808</v>
      </c>
      <c r="G94" s="189">
        <v>241.74950000000001</v>
      </c>
      <c r="H94" s="185">
        <f>G94/D.2!K10</f>
        <v>0.37802129571697951</v>
      </c>
      <c r="I94" s="162">
        <v>3.5099990000000001</v>
      </c>
      <c r="J94" s="185">
        <f>I94/D.2!L10</f>
        <v>0.55261085085564188</v>
      </c>
      <c r="K94" s="189">
        <v>12.203329999999999</v>
      </c>
      <c r="L94" s="185">
        <f>K94/D.2!M10</f>
        <v>0.48202892071614845</v>
      </c>
      <c r="M94" s="179">
        <f t="shared" ref="M94:M96" si="3">SUM(C94,E94,G94,I94,K94)</f>
        <v>1165.7191290000001</v>
      </c>
      <c r="N94" s="209">
        <f>M94/D.2!N10</f>
        <v>0.32377465865852934</v>
      </c>
      <c r="P94"/>
      <c r="Q94"/>
      <c r="R94"/>
      <c r="S94"/>
      <c r="T94"/>
      <c r="U94"/>
      <c r="V94"/>
      <c r="W94"/>
    </row>
    <row r="95" spans="2:23" x14ac:dyDescent="0.25">
      <c r="B95" s="205" t="s">
        <v>6</v>
      </c>
      <c r="C95" s="189">
        <v>64.229159999999993</v>
      </c>
      <c r="D95" s="185">
        <f>C95/D.2!I11</f>
        <v>0.29905268341228702</v>
      </c>
      <c r="E95" s="162">
        <v>39.017490000000002</v>
      </c>
      <c r="F95" s="185">
        <f>E95/D.2!J11</f>
        <v>0.39786838953878184</v>
      </c>
      <c r="G95" s="189">
        <v>175.64959999999999</v>
      </c>
      <c r="H95" s="185">
        <f>G95/D.2!K11</f>
        <v>0.39663866964092981</v>
      </c>
      <c r="I95" s="162">
        <v>48.612499999999997</v>
      </c>
      <c r="J95" s="185">
        <f>I95/D.2!L11</f>
        <v>0.31256195582352669</v>
      </c>
      <c r="K95" s="189">
        <v>0.81249899999999997</v>
      </c>
      <c r="L95" s="185">
        <f>K95/D.2!M11</f>
        <v>0.19999999999999998</v>
      </c>
      <c r="M95" s="179">
        <f t="shared" si="3"/>
        <v>328.32124900000002</v>
      </c>
      <c r="N95" s="209">
        <f>M95/D.2!N11</f>
        <v>0.35871175434839492</v>
      </c>
      <c r="P95"/>
      <c r="Q95"/>
      <c r="R95"/>
      <c r="S95"/>
      <c r="T95"/>
      <c r="U95"/>
      <c r="V95"/>
      <c r="W95"/>
    </row>
    <row r="96" spans="2:23" x14ac:dyDescent="0.25">
      <c r="B96" s="205" t="s">
        <v>7</v>
      </c>
      <c r="C96" s="189">
        <v>55.39499</v>
      </c>
      <c r="D96" s="185">
        <f>C96/D.2!I12</f>
        <v>0.35567503522223642</v>
      </c>
      <c r="E96" s="162">
        <v>87.775620000000004</v>
      </c>
      <c r="F96" s="185">
        <f>E96/D.2!J12</f>
        <v>0.28601264913491081</v>
      </c>
      <c r="G96" s="189">
        <v>406.25409999999999</v>
      </c>
      <c r="H96" s="185">
        <f>G96/D.2!K12</f>
        <v>0.26337120765187855</v>
      </c>
      <c r="I96" s="162">
        <v>50.223329999999997</v>
      </c>
      <c r="J96" s="185">
        <f>I96/D.2!L12</f>
        <v>0.29209009652710805</v>
      </c>
      <c r="K96" s="189">
        <v>16.928329999999999</v>
      </c>
      <c r="L96" s="185">
        <f>K96/D.2!M12</f>
        <v>0.19359754033447438</v>
      </c>
      <c r="M96" s="179">
        <f t="shared" si="3"/>
        <v>616.57637</v>
      </c>
      <c r="N96" s="209">
        <f>M96/D.2!N12</f>
        <v>0.2722743264288377</v>
      </c>
      <c r="P96"/>
      <c r="Q96"/>
      <c r="R96"/>
      <c r="S96"/>
      <c r="T96"/>
      <c r="U96"/>
      <c r="V96"/>
      <c r="W96"/>
    </row>
    <row r="97" spans="2:23" x14ac:dyDescent="0.25">
      <c r="B97" s="206" t="s">
        <v>8</v>
      </c>
      <c r="C97" s="145">
        <f>SUM(C93:C96)</f>
        <v>827.69015000000002</v>
      </c>
      <c r="D97" s="144">
        <f>C97/D.10!K20</f>
        <v>0.28085074109294766</v>
      </c>
      <c r="E97" s="164">
        <f>SUM(E93:E96)</f>
        <v>441.78494000000001</v>
      </c>
      <c r="F97" s="144">
        <f>E97/D.10!L20</f>
        <v>0.39827732208448774</v>
      </c>
      <c r="G97" s="145">
        <f>SUM(G93:G96)</f>
        <v>945.25670000000002</v>
      </c>
      <c r="H97" s="144">
        <f>G97/D.10!M20</f>
        <v>0.31993126436605579</v>
      </c>
      <c r="I97" s="164">
        <f>SUM(I93:I96)</f>
        <v>144.14582899999999</v>
      </c>
      <c r="J97" s="144">
        <f>I97/D.10!N20</f>
        <v>0.3604016803580139</v>
      </c>
      <c r="K97" s="145">
        <f>SUM(K93:K96)</f>
        <v>36.485824999999998</v>
      </c>
      <c r="L97" s="144">
        <f>K97/D.10!O20</f>
        <v>0.26385801434631961</v>
      </c>
      <c r="M97" s="145">
        <f>SUM(C97,E97,G97,I97,K97)</f>
        <v>2395.3634440000001</v>
      </c>
      <c r="N97" s="144">
        <f>M97/D.10!P20</f>
        <v>0.31730365043585607</v>
      </c>
      <c r="P97"/>
      <c r="Q97"/>
      <c r="R97"/>
      <c r="S97"/>
      <c r="T97"/>
      <c r="U97"/>
      <c r="V97"/>
      <c r="W97"/>
    </row>
    <row r="98" spans="2:23" x14ac:dyDescent="0.25">
      <c r="B98" s="205">
        <v>2013</v>
      </c>
      <c r="C98" s="189"/>
      <c r="D98" s="141"/>
      <c r="E98" s="162"/>
      <c r="F98" s="162"/>
      <c r="G98" s="189"/>
      <c r="H98" s="141"/>
      <c r="I98" s="162"/>
      <c r="J98" s="162"/>
      <c r="K98" s="189"/>
      <c r="L98" s="141"/>
      <c r="M98" s="179"/>
      <c r="N98" s="192"/>
      <c r="P98"/>
      <c r="Q98"/>
      <c r="R98"/>
      <c r="S98"/>
      <c r="T98"/>
      <c r="U98"/>
      <c r="V98"/>
      <c r="W98"/>
    </row>
    <row r="99" spans="2:23" x14ac:dyDescent="0.25">
      <c r="B99" s="205" t="s">
        <v>5</v>
      </c>
      <c r="C99" s="189">
        <f>43.88</f>
        <v>43.88</v>
      </c>
      <c r="D99" s="185">
        <f>C99/D.2!I16</f>
        <v>0.29850340136054426</v>
      </c>
      <c r="E99" s="162">
        <v>90.366669999999999</v>
      </c>
      <c r="F99" s="185">
        <f>E99/D.2!J16</f>
        <v>0.39989380909474448</v>
      </c>
      <c r="G99" s="189">
        <v>159.33080000000001</v>
      </c>
      <c r="H99" s="185">
        <f>G99/D.2!K16</f>
        <v>0.48621922936127909</v>
      </c>
      <c r="I99" s="162">
        <f>2.525</f>
        <v>2.5249999999999999</v>
      </c>
      <c r="J99" s="185">
        <f>I99/D.2!L16</f>
        <v>0.5479204339967797</v>
      </c>
      <c r="K99" s="189">
        <v>3</v>
      </c>
      <c r="L99" s="185">
        <f>K99/D.2!M16</f>
        <v>0.6</v>
      </c>
      <c r="M99" s="179">
        <f>SUM(C99,E99,G99,I99,K99)</f>
        <v>299.10246999999998</v>
      </c>
      <c r="N99" s="209">
        <f>M99/D.2!N16</f>
        <v>0.42110600304575624</v>
      </c>
      <c r="P99"/>
      <c r="Q99"/>
      <c r="R99"/>
      <c r="S99"/>
      <c r="T99"/>
      <c r="U99"/>
      <c r="V99"/>
      <c r="W99"/>
    </row>
    <row r="100" spans="2:23" x14ac:dyDescent="0.25">
      <c r="B100" s="205" t="s">
        <v>51</v>
      </c>
      <c r="C100" s="189">
        <v>632.16369999999995</v>
      </c>
      <c r="D100" s="185">
        <f>C100/D.2!I17</f>
        <v>0.29308185910940299</v>
      </c>
      <c r="E100" s="162">
        <v>225.35769999999999</v>
      </c>
      <c r="F100" s="185">
        <f>E100/D.2!J17</f>
        <v>0.4225086189703825</v>
      </c>
      <c r="G100" s="189">
        <v>222.27670000000001</v>
      </c>
      <c r="H100" s="185">
        <f>G100/D.2!K17</f>
        <v>0.41212430042333054</v>
      </c>
      <c r="I100" s="162">
        <v>3.05</v>
      </c>
      <c r="J100" s="185">
        <f>I100/D.2!L17</f>
        <v>0.27477477477477474</v>
      </c>
      <c r="K100" s="189">
        <v>8.51</v>
      </c>
      <c r="L100" s="185">
        <f>K100/D.2!M17</f>
        <v>0.45034397600908388</v>
      </c>
      <c r="M100" s="179">
        <f t="shared" ref="M100:M103" si="4">SUM(C100,E100,G100,I100,K100)</f>
        <v>1091.3580999999999</v>
      </c>
      <c r="N100" s="209">
        <f>M100/D.2!N17</f>
        <v>0.33480597580134802</v>
      </c>
    </row>
    <row r="101" spans="2:23" x14ac:dyDescent="0.25">
      <c r="B101" s="205" t="s">
        <v>6</v>
      </c>
      <c r="C101" s="189">
        <v>63.187919999999998</v>
      </c>
      <c r="D101" s="185">
        <f>C101/D.2!I18</f>
        <v>0.37666320100815748</v>
      </c>
      <c r="E101" s="162">
        <v>25.75</v>
      </c>
      <c r="F101" s="185">
        <f>E101/D.2!J18</f>
        <v>0.37666390365223884</v>
      </c>
      <c r="G101" s="189">
        <v>83.656670000000005</v>
      </c>
      <c r="H101" s="185">
        <f>G101/D.2!K18</f>
        <v>0.41829032150466128</v>
      </c>
      <c r="I101" s="162">
        <v>3.83</v>
      </c>
      <c r="J101" s="185">
        <f>I101/D.2!L18</f>
        <v>0.78229787234095827</v>
      </c>
      <c r="K101" s="189">
        <v>0.1</v>
      </c>
      <c r="L101" s="185">
        <f>K101/D.2!M18</f>
        <v>1</v>
      </c>
      <c r="M101" s="179">
        <f t="shared" si="4"/>
        <v>176.52458999999999</v>
      </c>
      <c r="N101" s="209">
        <f>M101/D.2!N18</f>
        <v>0.40018005215976932</v>
      </c>
    </row>
    <row r="102" spans="2:23" x14ac:dyDescent="0.25">
      <c r="B102" s="205" t="s">
        <v>7</v>
      </c>
      <c r="C102" s="189">
        <v>51.8</v>
      </c>
      <c r="D102" s="185">
        <f>C102/D.2!I19</f>
        <v>0.33215774286630328</v>
      </c>
      <c r="E102" s="162">
        <v>74.73</v>
      </c>
      <c r="F102" s="185">
        <f>E102/D.2!J19</f>
        <v>0.3078814013215429</v>
      </c>
      <c r="G102" s="189">
        <v>338.06</v>
      </c>
      <c r="H102" s="185">
        <f>G102/D.2!K19</f>
        <v>0.34446394352688753</v>
      </c>
      <c r="I102" s="162">
        <v>6.7</v>
      </c>
      <c r="J102" s="185">
        <f>I102/D.2!L19</f>
        <v>0.15162945081461102</v>
      </c>
      <c r="K102" s="189">
        <v>1.5</v>
      </c>
      <c r="L102" s="185">
        <f>K102/D.2!M19</f>
        <v>0.23961661341853036</v>
      </c>
      <c r="M102" s="179">
        <f t="shared" si="4"/>
        <v>472.79</v>
      </c>
      <c r="N102" s="209">
        <f>M102/D.2!N19</f>
        <v>0.33050012531801026</v>
      </c>
    </row>
    <row r="103" spans="2:23" x14ac:dyDescent="0.25">
      <c r="B103" s="206" t="s">
        <v>8</v>
      </c>
      <c r="C103" s="191">
        <f>SUM(C99:C102)</f>
        <v>791.03161999999986</v>
      </c>
      <c r="D103" s="185">
        <f>C103/SUM(D.2!I16:I19)</f>
        <v>0.30104035253857758</v>
      </c>
      <c r="E103" s="179">
        <f>SUM(E99:E102)</f>
        <v>416.20437000000004</v>
      </c>
      <c r="F103" s="185">
        <f>E103/SUM(D.2!J16:J19)</f>
        <v>0.3888149035429091</v>
      </c>
      <c r="G103" s="191">
        <f>SUM(G99:G102)</f>
        <v>803.32417000000009</v>
      </c>
      <c r="H103" s="185">
        <f>G103/SUM(D.2!K16:K19)</f>
        <v>0.39216334147494347</v>
      </c>
      <c r="I103" s="179">
        <f>SUM(I99:I102)</f>
        <v>16.105</v>
      </c>
      <c r="J103" s="185">
        <f>I103/SUM(D.2!L16:L19)</f>
        <v>0.24856911342900934</v>
      </c>
      <c r="K103" s="191">
        <f>SUM(K99:K102)</f>
        <v>13.11</v>
      </c>
      <c r="L103" s="185">
        <f>K103/SUM(D.2!M16:M19)</f>
        <v>0.43329293819496167</v>
      </c>
      <c r="M103" s="145">
        <f t="shared" si="4"/>
        <v>2039.7751599999999</v>
      </c>
      <c r="N103" s="209">
        <f>M103/SUM(D.2!N16:N19)</f>
        <v>0.34918129053151259</v>
      </c>
    </row>
    <row r="104" spans="2:23" x14ac:dyDescent="0.25">
      <c r="B104" s="205">
        <v>2012</v>
      </c>
      <c r="C104" s="211"/>
      <c r="D104" s="215"/>
      <c r="E104" s="178"/>
      <c r="F104" s="215"/>
      <c r="G104" s="211"/>
      <c r="H104" s="215"/>
      <c r="I104" s="178"/>
      <c r="J104" s="215"/>
      <c r="K104" s="211"/>
      <c r="L104" s="215"/>
      <c r="M104" s="68"/>
      <c r="N104" s="216"/>
    </row>
    <row r="105" spans="2:23" x14ac:dyDescent="0.25">
      <c r="B105" s="205" t="s">
        <v>5</v>
      </c>
      <c r="C105" s="189">
        <v>13.84</v>
      </c>
      <c r="D105" s="185">
        <v>0.1981672394043528</v>
      </c>
      <c r="E105" s="162">
        <v>52.5</v>
      </c>
      <c r="F105" s="185">
        <v>0.43808411214953269</v>
      </c>
      <c r="G105" s="189">
        <v>99.57</v>
      </c>
      <c r="H105" s="185">
        <v>0.46506305464736103</v>
      </c>
      <c r="I105" s="162">
        <v>0</v>
      </c>
      <c r="J105" s="185">
        <v>0</v>
      </c>
      <c r="K105" s="189">
        <v>0.38</v>
      </c>
      <c r="L105" s="185">
        <v>1</v>
      </c>
      <c r="M105" s="179">
        <v>166.29</v>
      </c>
      <c r="N105" s="209">
        <v>0.41139506692066008</v>
      </c>
    </row>
    <row r="106" spans="2:23" x14ac:dyDescent="0.25">
      <c r="B106" s="205" t="s">
        <v>51</v>
      </c>
      <c r="C106" s="189">
        <v>559.39</v>
      </c>
      <c r="D106" s="185">
        <v>0.25545255274454287</v>
      </c>
      <c r="E106" s="162">
        <v>262.77</v>
      </c>
      <c r="F106" s="185">
        <v>0.43130785897183371</v>
      </c>
      <c r="G106" s="189">
        <v>319.01</v>
      </c>
      <c r="H106" s="185">
        <v>0.42950426798072</v>
      </c>
      <c r="I106" s="162">
        <v>4.66</v>
      </c>
      <c r="J106" s="185">
        <v>0.3739967897271268</v>
      </c>
      <c r="K106" s="189">
        <v>1</v>
      </c>
      <c r="L106" s="185">
        <v>0.14084507042253522</v>
      </c>
      <c r="M106" s="179">
        <v>1146.83</v>
      </c>
      <c r="N106" s="209">
        <v>0.32202204788085387</v>
      </c>
    </row>
    <row r="107" spans="2:23" x14ac:dyDescent="0.25">
      <c r="B107" s="205" t="s">
        <v>6</v>
      </c>
      <c r="C107" s="189">
        <v>62.5</v>
      </c>
      <c r="D107" s="185">
        <v>0.22466659477335635</v>
      </c>
      <c r="E107" s="162">
        <v>81.63</v>
      </c>
      <c r="F107" s="185">
        <v>0.47239583333333329</v>
      </c>
      <c r="G107" s="189">
        <v>136.97</v>
      </c>
      <c r="H107" s="185">
        <v>0.51937661155771264</v>
      </c>
      <c r="I107" s="162">
        <v>8.5399999999999991</v>
      </c>
      <c r="J107" s="185">
        <v>0.57469717362045758</v>
      </c>
      <c r="K107" s="189">
        <v>5.53</v>
      </c>
      <c r="L107" s="185">
        <v>0.6460280373831776</v>
      </c>
      <c r="M107" s="179">
        <v>295.16999999999996</v>
      </c>
      <c r="N107" s="209">
        <v>0.39988890845785968</v>
      </c>
    </row>
    <row r="108" spans="2:23" x14ac:dyDescent="0.25">
      <c r="B108" s="205" t="s">
        <v>7</v>
      </c>
      <c r="C108" s="189">
        <v>49.3</v>
      </c>
      <c r="D108" s="185">
        <v>0.2684161811945337</v>
      </c>
      <c r="E108" s="162">
        <v>60.41</v>
      </c>
      <c r="F108" s="185">
        <v>0.24437702265372169</v>
      </c>
      <c r="G108" s="189">
        <v>381.65</v>
      </c>
      <c r="H108" s="185">
        <v>0.26341581254098079</v>
      </c>
      <c r="I108" s="162">
        <v>42.85</v>
      </c>
      <c r="J108" s="185">
        <v>0.34401091843288378</v>
      </c>
      <c r="K108" s="189">
        <v>10</v>
      </c>
      <c r="L108" s="185">
        <v>0.43383947939262474</v>
      </c>
      <c r="M108" s="179">
        <v>544.20999999999992</v>
      </c>
      <c r="N108" s="209">
        <v>0.26843681097798583</v>
      </c>
    </row>
    <row r="109" spans="2:23" x14ac:dyDescent="0.25">
      <c r="B109" s="206" t="s">
        <v>8</v>
      </c>
      <c r="C109" s="145">
        <v>685.03</v>
      </c>
      <c r="D109" s="146">
        <v>0.25171045379386364</v>
      </c>
      <c r="E109" s="164">
        <v>457.30999999999995</v>
      </c>
      <c r="F109" s="146">
        <v>0.39797925296759135</v>
      </c>
      <c r="G109" s="145">
        <v>937.19999999999993</v>
      </c>
      <c r="H109" s="146">
        <v>0.35108881737912123</v>
      </c>
      <c r="I109" s="164">
        <v>56.05</v>
      </c>
      <c r="J109" s="146">
        <v>0.36891989732113467</v>
      </c>
      <c r="K109" s="145">
        <v>16.91</v>
      </c>
      <c r="L109" s="146">
        <v>0.43259145561524681</v>
      </c>
      <c r="M109" s="164">
        <v>2152.5</v>
      </c>
      <c r="N109" s="144">
        <v>0.31978856070634276</v>
      </c>
    </row>
    <row r="110" spans="2:23" x14ac:dyDescent="0.25">
      <c r="B110" s="205">
        <v>2011</v>
      </c>
      <c r="C110" s="211"/>
      <c r="D110" s="215"/>
      <c r="E110" s="178"/>
      <c r="F110" s="215"/>
      <c r="G110" s="211"/>
      <c r="H110" s="215"/>
      <c r="I110" s="178"/>
      <c r="J110" s="215"/>
      <c r="K110" s="211"/>
      <c r="L110" s="215"/>
      <c r="M110" s="178"/>
      <c r="N110" s="216"/>
    </row>
    <row r="111" spans="2:23" x14ac:dyDescent="0.25">
      <c r="B111" s="205" t="s">
        <v>5</v>
      </c>
      <c r="C111" s="189">
        <v>11.45</v>
      </c>
      <c r="D111" s="185">
        <v>0.20344705046197581</v>
      </c>
      <c r="E111" s="162">
        <v>46.77</v>
      </c>
      <c r="F111" s="185">
        <v>0.45083863504916144</v>
      </c>
      <c r="G111" s="189">
        <v>75.17</v>
      </c>
      <c r="H111" s="185">
        <v>0.42671435059037238</v>
      </c>
      <c r="I111" s="162">
        <v>0</v>
      </c>
      <c r="J111" s="185">
        <v>0</v>
      </c>
      <c r="K111" s="189">
        <v>0.38</v>
      </c>
      <c r="L111" s="185">
        <v>1</v>
      </c>
      <c r="M111" s="179">
        <v>133.76999999999998</v>
      </c>
      <c r="N111" s="209">
        <v>0.39740352336531892</v>
      </c>
    </row>
    <row r="112" spans="2:23" x14ac:dyDescent="0.25">
      <c r="B112" s="205" t="s">
        <v>51</v>
      </c>
      <c r="C112" s="189">
        <v>508.05</v>
      </c>
      <c r="D112" s="185">
        <v>0.25112078808578786</v>
      </c>
      <c r="E112" s="162">
        <v>238.68</v>
      </c>
      <c r="F112" s="185">
        <v>0.42514383427441627</v>
      </c>
      <c r="G112" s="189">
        <v>304.63</v>
      </c>
      <c r="H112" s="185">
        <v>0.44194109966632816</v>
      </c>
      <c r="I112" s="162">
        <v>5.76</v>
      </c>
      <c r="J112" s="185">
        <v>0.47368421052631576</v>
      </c>
      <c r="K112" s="189">
        <v>2</v>
      </c>
      <c r="L112" s="185">
        <v>0.23529411764705882</v>
      </c>
      <c r="M112" s="179">
        <v>1059.1199999999999</v>
      </c>
      <c r="N112" s="209">
        <v>0.32148125663985427</v>
      </c>
    </row>
    <row r="113" spans="2:15" x14ac:dyDescent="0.25">
      <c r="B113" s="205" t="s">
        <v>6</v>
      </c>
      <c r="C113" s="189">
        <v>58.63</v>
      </c>
      <c r="D113" s="185">
        <v>0.21735745532735226</v>
      </c>
      <c r="E113" s="162">
        <v>46.53</v>
      </c>
      <c r="F113" s="185">
        <v>0.39610113220396698</v>
      </c>
      <c r="G113" s="189">
        <v>112.42</v>
      </c>
      <c r="H113" s="185">
        <v>0.46878779033401441</v>
      </c>
      <c r="I113" s="162">
        <v>2.96</v>
      </c>
      <c r="J113" s="185">
        <v>0.89696969696969697</v>
      </c>
      <c r="K113" s="189">
        <v>0.48</v>
      </c>
      <c r="L113" s="185">
        <v>0.94117647058823528</v>
      </c>
      <c r="M113" s="179">
        <v>221.01999999999998</v>
      </c>
      <c r="N113" s="209">
        <v>0.35036380641377235</v>
      </c>
    </row>
    <row r="114" spans="2:15" x14ac:dyDescent="0.25">
      <c r="B114" s="205" t="s">
        <v>7</v>
      </c>
      <c r="C114" s="189">
        <v>38.619999999999997</v>
      </c>
      <c r="D114" s="185">
        <v>0.25518699616756968</v>
      </c>
      <c r="E114" s="162">
        <v>50.28</v>
      </c>
      <c r="F114" s="185">
        <v>0.25326147181786129</v>
      </c>
      <c r="G114" s="189">
        <v>327.49</v>
      </c>
      <c r="H114" s="185">
        <v>0.25748498286001825</v>
      </c>
      <c r="I114" s="162">
        <v>41.35</v>
      </c>
      <c r="J114" s="185">
        <v>0.38184504571059191</v>
      </c>
      <c r="K114" s="189">
        <v>9.56</v>
      </c>
      <c r="L114" s="185">
        <v>0.42640499553969669</v>
      </c>
      <c r="M114" s="179">
        <v>467.30000000000007</v>
      </c>
      <c r="N114" s="209">
        <v>0.26665373246750285</v>
      </c>
    </row>
    <row r="115" spans="2:15" x14ac:dyDescent="0.25">
      <c r="B115" s="206" t="s">
        <v>8</v>
      </c>
      <c r="C115" s="145">
        <v>616.75</v>
      </c>
      <c r="D115" s="146">
        <v>0.24665165627536995</v>
      </c>
      <c r="E115" s="164">
        <v>382.26</v>
      </c>
      <c r="F115" s="146">
        <v>0.38960403608011007</v>
      </c>
      <c r="G115" s="145">
        <v>819.71</v>
      </c>
      <c r="H115" s="146">
        <v>0.34482889174010894</v>
      </c>
      <c r="I115" s="164">
        <v>50.07</v>
      </c>
      <c r="J115" s="146">
        <v>0.40444264943457187</v>
      </c>
      <c r="K115" s="145">
        <v>12.42</v>
      </c>
      <c r="L115" s="146">
        <v>0.39044325683747244</v>
      </c>
      <c r="M115" s="164">
        <v>1881.21</v>
      </c>
      <c r="N115" s="144">
        <v>0.31278431763766956</v>
      </c>
    </row>
    <row r="116" spans="2:15" x14ac:dyDescent="0.25">
      <c r="B116" s="205">
        <v>2010</v>
      </c>
      <c r="C116" s="189"/>
      <c r="D116" s="185"/>
      <c r="E116" s="162"/>
      <c r="F116" s="185"/>
      <c r="G116" s="189"/>
      <c r="H116" s="185"/>
      <c r="I116" s="162"/>
      <c r="J116" s="185"/>
      <c r="K116" s="189"/>
      <c r="L116" s="185"/>
      <c r="M116" s="162"/>
      <c r="N116" s="209"/>
    </row>
    <row r="117" spans="2:15" x14ac:dyDescent="0.25">
      <c r="B117" s="205" t="s">
        <v>5</v>
      </c>
      <c r="C117" s="213">
        <v>8.6300000000000008</v>
      </c>
      <c r="D117" s="185">
        <v>0.18599137931034485</v>
      </c>
      <c r="E117" s="214">
        <v>23.63</v>
      </c>
      <c r="F117" s="185">
        <v>0.39660960053709299</v>
      </c>
      <c r="G117" s="213">
        <v>76.94</v>
      </c>
      <c r="H117" s="185">
        <v>0.42768204558087825</v>
      </c>
      <c r="I117" s="214">
        <v>0</v>
      </c>
      <c r="J117" s="185">
        <v>0</v>
      </c>
      <c r="K117" s="213">
        <v>3</v>
      </c>
      <c r="L117" s="185">
        <v>0.75</v>
      </c>
      <c r="M117" s="179">
        <v>112.19999999999999</v>
      </c>
      <c r="N117" s="209">
        <v>0.38440454981499245</v>
      </c>
    </row>
    <row r="118" spans="2:15" x14ac:dyDescent="0.25">
      <c r="B118" s="205" t="s">
        <v>51</v>
      </c>
      <c r="C118" s="213">
        <v>500.95</v>
      </c>
      <c r="D118" s="185">
        <v>0.2622610097794903</v>
      </c>
      <c r="E118" s="214">
        <v>258.55</v>
      </c>
      <c r="F118" s="185">
        <v>0.3984250997796373</v>
      </c>
      <c r="G118" s="213">
        <v>262.01</v>
      </c>
      <c r="H118" s="185">
        <v>0.38046903361649603</v>
      </c>
      <c r="I118" s="214">
        <v>0.2</v>
      </c>
      <c r="J118" s="185">
        <v>7.407407407407407E-2</v>
      </c>
      <c r="K118" s="213">
        <v>17</v>
      </c>
      <c r="L118" s="185">
        <v>0.72340425531914898</v>
      </c>
      <c r="M118" s="179">
        <v>1038.71</v>
      </c>
      <c r="N118" s="209">
        <v>0.31726992272213572</v>
      </c>
    </row>
    <row r="119" spans="2:15" x14ac:dyDescent="0.25">
      <c r="B119" s="205" t="s">
        <v>6</v>
      </c>
      <c r="C119" s="213">
        <v>66.239999999999995</v>
      </c>
      <c r="D119" s="185">
        <v>0.24821073931127513</v>
      </c>
      <c r="E119" s="214">
        <v>49.47</v>
      </c>
      <c r="F119" s="185">
        <v>0.39538043478260865</v>
      </c>
      <c r="G119" s="213">
        <v>84.31</v>
      </c>
      <c r="H119" s="185">
        <v>0.45746066196418883</v>
      </c>
      <c r="I119" s="214">
        <v>0</v>
      </c>
      <c r="J119" s="185" t="s">
        <v>128</v>
      </c>
      <c r="K119" s="213">
        <v>0</v>
      </c>
      <c r="L119" s="185" t="s">
        <v>128</v>
      </c>
      <c r="M119" s="179">
        <v>200.01999999999998</v>
      </c>
      <c r="N119" s="209">
        <v>0.34708219819882352</v>
      </c>
    </row>
    <row r="120" spans="2:15" x14ac:dyDescent="0.25">
      <c r="B120" s="205" t="s">
        <v>7</v>
      </c>
      <c r="C120" s="213">
        <v>34.590000000000003</v>
      </c>
      <c r="D120" s="185">
        <v>0.29261483800016924</v>
      </c>
      <c r="E120" s="214">
        <v>23.95</v>
      </c>
      <c r="F120" s="185">
        <v>0.17076648841354722</v>
      </c>
      <c r="G120" s="213">
        <v>240.99</v>
      </c>
      <c r="H120" s="185">
        <v>0.26144549557368513</v>
      </c>
      <c r="I120" s="214">
        <v>3</v>
      </c>
      <c r="J120" s="185">
        <v>0.11824990145841545</v>
      </c>
      <c r="K120" s="213">
        <v>17</v>
      </c>
      <c r="L120" s="185">
        <v>0.18478260869565216</v>
      </c>
      <c r="M120" s="179">
        <v>319.52999999999997</v>
      </c>
      <c r="N120" s="209">
        <v>0.24624881511109056</v>
      </c>
      <c r="O120" s="148"/>
    </row>
    <row r="121" spans="2:15" x14ac:dyDescent="0.25">
      <c r="B121" s="206" t="s">
        <v>8</v>
      </c>
      <c r="C121" s="191">
        <v>610.41</v>
      </c>
      <c r="D121" s="185">
        <v>0.26068073112401774</v>
      </c>
      <c r="E121" s="179">
        <v>355.59999999999997</v>
      </c>
      <c r="F121" s="185">
        <v>0.36513738858996997</v>
      </c>
      <c r="G121" s="191">
        <v>664.25</v>
      </c>
      <c r="H121" s="185">
        <v>0.33639554139804823</v>
      </c>
      <c r="I121" s="179">
        <v>3.2</v>
      </c>
      <c r="J121" s="185">
        <v>0.10641835716661124</v>
      </c>
      <c r="K121" s="191">
        <v>37</v>
      </c>
      <c r="L121" s="185">
        <v>0.30962343096234307</v>
      </c>
      <c r="M121" s="179">
        <v>1670.46</v>
      </c>
      <c r="N121" s="209">
        <v>0.3070890460065519</v>
      </c>
    </row>
    <row r="122" spans="2:15" x14ac:dyDescent="0.25">
      <c r="B122" s="205">
        <v>2009</v>
      </c>
      <c r="C122" s="211"/>
      <c r="D122" s="215"/>
      <c r="E122" s="178"/>
      <c r="F122" s="215"/>
      <c r="G122" s="211"/>
      <c r="H122" s="215"/>
      <c r="I122" s="178"/>
      <c r="J122" s="215"/>
      <c r="K122" s="211"/>
      <c r="L122" s="215"/>
      <c r="M122" s="178"/>
      <c r="N122" s="216"/>
    </row>
    <row r="123" spans="2:15" x14ac:dyDescent="0.25">
      <c r="B123" s="205" t="s">
        <v>5</v>
      </c>
      <c r="C123" s="213">
        <v>7.45</v>
      </c>
      <c r="D123" s="185">
        <v>0.17687559354226023</v>
      </c>
      <c r="E123" s="214">
        <v>25.03</v>
      </c>
      <c r="F123" s="185">
        <v>0.44592909317655444</v>
      </c>
      <c r="G123" s="213">
        <v>72.16</v>
      </c>
      <c r="H123" s="185">
        <v>0.43887604914244011</v>
      </c>
      <c r="I123" s="214">
        <v>0</v>
      </c>
      <c r="J123" s="185">
        <v>0</v>
      </c>
      <c r="K123" s="213">
        <v>3</v>
      </c>
      <c r="L123" s="185">
        <v>0.75</v>
      </c>
      <c r="M123" s="179">
        <v>107.64</v>
      </c>
      <c r="N123" s="209">
        <v>0.40064019056835531</v>
      </c>
    </row>
    <row r="124" spans="2:15" x14ac:dyDescent="0.25">
      <c r="B124" s="205" t="s">
        <v>51</v>
      </c>
      <c r="C124" s="213">
        <v>461.86</v>
      </c>
      <c r="D124" s="185">
        <v>0.26474145491439155</v>
      </c>
      <c r="E124" s="214">
        <v>247.89</v>
      </c>
      <c r="F124" s="185">
        <v>0.41939904578215409</v>
      </c>
      <c r="G124" s="213">
        <v>235.6</v>
      </c>
      <c r="H124" s="185">
        <v>0.36608294358034088</v>
      </c>
      <c r="I124" s="214">
        <v>0</v>
      </c>
      <c r="J124" s="185">
        <v>0</v>
      </c>
      <c r="K124" s="213">
        <v>16</v>
      </c>
      <c r="L124" s="185">
        <v>0.59259259259259256</v>
      </c>
      <c r="M124" s="179">
        <v>961.35</v>
      </c>
      <c r="N124" s="209">
        <v>0.31968276137270546</v>
      </c>
    </row>
    <row r="125" spans="2:15" x14ac:dyDescent="0.25">
      <c r="B125" s="205" t="s">
        <v>6</v>
      </c>
      <c r="C125" s="213">
        <v>56.97</v>
      </c>
      <c r="D125" s="185">
        <v>0.22272176394698776</v>
      </c>
      <c r="E125" s="214">
        <v>45.68</v>
      </c>
      <c r="F125" s="185">
        <v>0.36392606755895474</v>
      </c>
      <c r="G125" s="213">
        <v>90.64</v>
      </c>
      <c r="H125" s="185">
        <v>0.48146180813768197</v>
      </c>
      <c r="I125" s="214">
        <v>0</v>
      </c>
      <c r="J125" s="185" t="s">
        <v>128</v>
      </c>
      <c r="K125" s="213">
        <v>0</v>
      </c>
      <c r="L125" s="185" t="s">
        <v>128</v>
      </c>
      <c r="M125" s="179">
        <v>193.29</v>
      </c>
      <c r="N125" s="209">
        <v>0.33936127253893289</v>
      </c>
    </row>
    <row r="126" spans="2:15" x14ac:dyDescent="0.25">
      <c r="B126" s="205" t="s">
        <v>7</v>
      </c>
      <c r="C126" s="213">
        <v>29.48</v>
      </c>
      <c r="D126" s="185">
        <v>0.25506142931302994</v>
      </c>
      <c r="E126" s="214">
        <v>25.5</v>
      </c>
      <c r="F126" s="185">
        <v>0.17825934987766515</v>
      </c>
      <c r="G126" s="213">
        <v>188.54</v>
      </c>
      <c r="H126" s="185">
        <v>0.28041942440693091</v>
      </c>
      <c r="I126" s="214">
        <v>4</v>
      </c>
      <c r="J126" s="185">
        <v>0.18761726078799248</v>
      </c>
      <c r="K126" s="213">
        <v>16</v>
      </c>
      <c r="L126" s="185">
        <v>0.26229508196721313</v>
      </c>
      <c r="M126" s="179">
        <v>263.52</v>
      </c>
      <c r="N126" s="209">
        <v>0.26006118622323099</v>
      </c>
      <c r="O126" s="148"/>
    </row>
    <row r="127" spans="2:15" x14ac:dyDescent="0.25">
      <c r="B127" s="206" t="s">
        <v>8</v>
      </c>
      <c r="C127" s="145">
        <v>555.76</v>
      </c>
      <c r="D127" s="146">
        <v>0.25752759422814936</v>
      </c>
      <c r="E127" s="164">
        <v>344.09999999999997</v>
      </c>
      <c r="F127" s="146">
        <v>0.37575347252555252</v>
      </c>
      <c r="G127" s="145">
        <v>586.93999999999994</v>
      </c>
      <c r="H127" s="146">
        <v>0.35175596308282392</v>
      </c>
      <c r="I127" s="164">
        <v>4</v>
      </c>
      <c r="J127" s="146">
        <v>0.16447368421052633</v>
      </c>
      <c r="K127" s="145">
        <v>35</v>
      </c>
      <c r="L127" s="146">
        <v>0.38043478260869568</v>
      </c>
      <c r="M127" s="164">
        <v>1525.8</v>
      </c>
      <c r="N127" s="144">
        <v>0.31403203299620885</v>
      </c>
    </row>
    <row r="128" spans="2:15" x14ac:dyDescent="0.25">
      <c r="B128" s="14" t="s">
        <v>592</v>
      </c>
    </row>
    <row r="129" spans="2:2" x14ac:dyDescent="0.25">
      <c r="B129" s="14" t="s">
        <v>667</v>
      </c>
    </row>
    <row r="132" spans="2:2" x14ac:dyDescent="0.25">
      <c r="B132"/>
    </row>
  </sheetData>
  <sheetProtection password="C69F" sheet="1" objects="1" scenarios="1"/>
  <mergeCells count="4">
    <mergeCell ref="B5:I5"/>
    <mergeCell ref="B6:J6"/>
    <mergeCell ref="B49:N49"/>
    <mergeCell ref="B90:N90"/>
  </mergeCells>
  <hyperlinks>
    <hyperlink ref="A1" location="ÍNDICE!A1" display="ÍNDICE"/>
  </hyperlinks>
  <pageMargins left="0.7" right="0.7" top="0.75" bottom="0.75" header="0.3" footer="0.3"/>
  <pageSetup orientation="portrait" r:id="rId1"/>
  <ignoredErrors>
    <ignoredError sqref="D14 F14 H14 D21 F21" formula="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J7"/>
  <sheetViews>
    <sheetView zoomScale="90" zoomScaleNormal="90" workbookViewId="0"/>
  </sheetViews>
  <sheetFormatPr baseColWidth="10" defaultRowHeight="15" x14ac:dyDescent="0.25"/>
  <cols>
    <col min="9" max="9" width="11.42578125" customWidth="1"/>
  </cols>
  <sheetData>
    <row r="1" spans="1:10" x14ac:dyDescent="0.25">
      <c r="A1" s="59" t="s">
        <v>132</v>
      </c>
    </row>
    <row r="2" spans="1:10" x14ac:dyDescent="0.25">
      <c r="A2" s="1" t="s">
        <v>301</v>
      </c>
    </row>
    <row r="3" spans="1:10" x14ac:dyDescent="0.25">
      <c r="A3" s="64"/>
      <c r="B3" s="64"/>
      <c r="C3" s="64"/>
      <c r="D3" s="64"/>
      <c r="E3" s="64"/>
      <c r="F3" s="64"/>
      <c r="G3" s="64"/>
      <c r="H3" s="64"/>
      <c r="I3" s="64"/>
    </row>
    <row r="4" spans="1:10" x14ac:dyDescent="0.25">
      <c r="A4" s="64"/>
      <c r="B4" s="64"/>
      <c r="C4" s="658" t="s">
        <v>169</v>
      </c>
      <c r="D4" s="644"/>
      <c r="E4" s="644"/>
      <c r="F4" s="644"/>
      <c r="G4" s="644"/>
      <c r="H4" s="644"/>
      <c r="I4" s="644"/>
      <c r="J4" s="246"/>
    </row>
    <row r="5" spans="1:10" x14ac:dyDescent="0.25">
      <c r="A5" s="64"/>
      <c r="B5" s="64"/>
      <c r="C5" s="76">
        <v>2007</v>
      </c>
      <c r="D5" s="76">
        <v>2008</v>
      </c>
      <c r="E5" s="76">
        <v>2009</v>
      </c>
      <c r="F5" s="76">
        <v>2010</v>
      </c>
      <c r="G5" s="76">
        <v>2011</v>
      </c>
      <c r="H5" s="76">
        <v>2012</v>
      </c>
      <c r="I5" s="76">
        <v>2013</v>
      </c>
      <c r="J5" s="245">
        <v>2014</v>
      </c>
    </row>
    <row r="6" spans="1:10" x14ac:dyDescent="0.25">
      <c r="A6" s="64"/>
      <c r="B6" s="58" t="s">
        <v>263</v>
      </c>
      <c r="C6" s="77">
        <v>1.2426299999999999</v>
      </c>
      <c r="D6" s="77">
        <v>1.1603300000000001</v>
      </c>
      <c r="E6" s="77">
        <v>1.1765699999999999</v>
      </c>
      <c r="F6" s="77">
        <v>1.1426000000000001</v>
      </c>
      <c r="G6" s="77">
        <v>1.09405</v>
      </c>
      <c r="H6" s="77">
        <v>1.07803</v>
      </c>
      <c r="I6" s="77">
        <v>1.04647</v>
      </c>
      <c r="J6" s="244">
        <v>1</v>
      </c>
    </row>
    <row r="7" spans="1:10" x14ac:dyDescent="0.25">
      <c r="A7" s="64"/>
      <c r="B7" s="14" t="s">
        <v>265</v>
      </c>
      <c r="C7" s="14"/>
      <c r="D7" s="14"/>
      <c r="E7" s="14"/>
      <c r="F7" s="64"/>
      <c r="G7" s="64"/>
      <c r="H7" s="64"/>
      <c r="I7" s="64"/>
    </row>
  </sheetData>
  <sheetProtection password="C69F" sheet="1" objects="1" scenarios="1"/>
  <mergeCells count="1">
    <mergeCell ref="C4:I4"/>
  </mergeCells>
  <hyperlinks>
    <hyperlink ref="A1" location="ÍNDICE!A1" display="ÍNDICE"/>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BT184"/>
  <sheetViews>
    <sheetView showGridLines="0" zoomScale="90" zoomScaleNormal="90" workbookViewId="0"/>
  </sheetViews>
  <sheetFormatPr baseColWidth="10" defaultColWidth="11.42578125" defaultRowHeight="15" x14ac:dyDescent="0.25"/>
  <cols>
    <col min="1" max="1" width="7.140625" style="121" bestFit="1" customWidth="1"/>
    <col min="2" max="2" width="2.42578125" style="127" customWidth="1"/>
    <col min="3" max="3" width="1.7109375" style="121" customWidth="1"/>
    <col min="4" max="4" width="2.7109375" style="1" customWidth="1"/>
    <col min="5" max="5" width="7" style="1" customWidth="1"/>
    <col min="6" max="6" width="1.28515625" style="1" customWidth="1"/>
    <col min="7" max="7" width="0.7109375" style="1" customWidth="1"/>
    <col min="8" max="12" width="2.140625" style="1" customWidth="1"/>
    <col min="13" max="14" width="1.7109375" style="1" customWidth="1"/>
    <col min="15" max="24" width="2.140625" style="1" customWidth="1"/>
    <col min="25" max="25" width="2.85546875" style="1" bestFit="1" customWidth="1"/>
    <col min="26" max="26" width="2" style="1" bestFit="1" customWidth="1"/>
    <col min="27" max="27" width="3.7109375" style="1" customWidth="1"/>
    <col min="28" max="28" width="5.140625" style="1" bestFit="1" customWidth="1"/>
    <col min="29" max="29" width="4.5703125" style="1" bestFit="1" customWidth="1"/>
    <col min="30" max="30" width="2.140625" style="1" customWidth="1"/>
    <col min="31" max="31" width="5" style="1" bestFit="1" customWidth="1"/>
    <col min="32" max="32" width="5.5703125" style="1" bestFit="1" customWidth="1"/>
    <col min="33" max="34" width="6.42578125" style="1" customWidth="1"/>
    <col min="35" max="35" width="2.140625" style="1" customWidth="1"/>
    <col min="36" max="36" width="7.7109375" style="1" customWidth="1"/>
    <col min="37" max="37" width="5.5703125" style="1" customWidth="1"/>
    <col min="38" max="38" width="2.140625" style="1" customWidth="1"/>
    <col min="39" max="39" width="7" style="1" customWidth="1"/>
    <col min="40" max="40" width="6.5703125" style="1" customWidth="1"/>
    <col min="41" max="41" width="1.140625" style="1" customWidth="1"/>
    <col min="42" max="42" width="5.28515625" style="1" customWidth="1"/>
    <col min="43" max="43" width="5.42578125" style="1" customWidth="1"/>
    <col min="44" max="44" width="2" style="1" customWidth="1"/>
    <col min="45" max="45" width="2.140625" style="1" customWidth="1"/>
    <col min="46" max="47" width="2.140625" style="121" customWidth="1"/>
    <col min="48" max="48" width="2.28515625" style="121" customWidth="1"/>
    <col min="49" max="49" width="0.85546875" style="121" customWidth="1"/>
    <col min="50" max="50" width="2" style="121" customWidth="1"/>
    <col min="51" max="51" width="2.140625" style="121" hidden="1" customWidth="1"/>
    <col min="52" max="52" width="2.140625" style="121" customWidth="1"/>
    <col min="53" max="53" width="1.5703125" style="121" customWidth="1"/>
    <col min="54" max="54" width="1.140625" style="121" customWidth="1"/>
    <col min="55" max="55" width="1" style="121" customWidth="1"/>
    <col min="56" max="56" width="5" style="121" customWidth="1"/>
    <col min="57" max="57" width="2.28515625" style="121" customWidth="1"/>
    <col min="58" max="58" width="1.42578125" style="121" customWidth="1"/>
    <col min="59" max="61" width="2.140625" style="121" customWidth="1"/>
    <col min="62" max="62" width="3.28515625" style="121" customWidth="1"/>
    <col min="63" max="63" width="2.42578125" style="121" customWidth="1"/>
    <col min="64" max="64" width="2.140625" style="121" customWidth="1"/>
    <col min="65" max="65" width="2.7109375" style="121" customWidth="1"/>
    <col min="66" max="69" width="2.140625" style="121" customWidth="1"/>
    <col min="70" max="70" width="1.7109375" style="121" customWidth="1"/>
    <col min="71" max="71" width="2.140625" style="121" customWidth="1"/>
    <col min="72" max="72" width="2.140625" style="47" customWidth="1"/>
    <col min="73" max="186" width="2.140625" style="121" customWidth="1"/>
    <col min="187" max="255" width="11.42578125" style="121"/>
    <col min="256" max="256" width="2.28515625" style="121" customWidth="1"/>
    <col min="257" max="257" width="23.5703125" style="121" customWidth="1"/>
    <col min="258" max="258" width="2.42578125" style="121" customWidth="1"/>
    <col min="259" max="259" width="1.7109375" style="121" customWidth="1"/>
    <col min="260" max="260" width="2.7109375" style="121" customWidth="1"/>
    <col min="261" max="261" width="7" style="121" customWidth="1"/>
    <col min="262" max="262" width="1.28515625" style="121" customWidth="1"/>
    <col min="263" max="263" width="0.7109375" style="121" customWidth="1"/>
    <col min="264" max="268" width="2.140625" style="121" customWidth="1"/>
    <col min="269" max="270" width="1.7109375" style="121" customWidth="1"/>
    <col min="271" max="280" width="2.140625" style="121" customWidth="1"/>
    <col min="281" max="281" width="6.5703125" style="121" customWidth="1"/>
    <col min="282" max="282" width="1.28515625" style="121" customWidth="1"/>
    <col min="283" max="283" width="3.7109375" style="121" customWidth="1"/>
    <col min="284" max="284" width="1.85546875" style="121" customWidth="1"/>
    <col min="285" max="288" width="2.140625" style="121" customWidth="1"/>
    <col min="289" max="290" width="6.42578125" style="121" customWidth="1"/>
    <col min="291" max="291" width="2.140625" style="121" customWidth="1"/>
    <col min="292" max="292" width="7.7109375" style="121" customWidth="1"/>
    <col min="293" max="293" width="5.5703125" style="121" customWidth="1"/>
    <col min="294" max="294" width="2.140625" style="121" customWidth="1"/>
    <col min="295" max="295" width="7" style="121" customWidth="1"/>
    <col min="296" max="296" width="6.5703125" style="121" customWidth="1"/>
    <col min="297" max="297" width="1.140625" style="121" customWidth="1"/>
    <col min="298" max="298" width="5.28515625" style="121" customWidth="1"/>
    <col min="299" max="299" width="5.42578125" style="121" customWidth="1"/>
    <col min="300" max="300" width="2" style="121" customWidth="1"/>
    <col min="301" max="303" width="2.140625" style="121" customWidth="1"/>
    <col min="304" max="304" width="2.28515625" style="121" customWidth="1"/>
    <col min="305" max="305" width="0.85546875" style="121" customWidth="1"/>
    <col min="306" max="306" width="2" style="121" customWidth="1"/>
    <col min="307" max="307" width="0" style="121" hidden="1" customWidth="1"/>
    <col min="308" max="308" width="2.140625" style="121" customWidth="1"/>
    <col min="309" max="309" width="1.5703125" style="121" customWidth="1"/>
    <col min="310" max="310" width="1.140625" style="121" customWidth="1"/>
    <col min="311" max="311" width="1" style="121" customWidth="1"/>
    <col min="312" max="312" width="5" style="121" customWidth="1"/>
    <col min="313" max="313" width="2.28515625" style="121" customWidth="1"/>
    <col min="314" max="314" width="1.42578125" style="121" customWidth="1"/>
    <col min="315" max="317" width="2.140625" style="121" customWidth="1"/>
    <col min="318" max="318" width="3.28515625" style="121" customWidth="1"/>
    <col min="319" max="319" width="2.42578125" style="121" customWidth="1"/>
    <col min="320" max="320" width="2.140625" style="121" customWidth="1"/>
    <col min="321" max="321" width="2.7109375" style="121" customWidth="1"/>
    <col min="322" max="325" width="2.140625" style="121" customWidth="1"/>
    <col min="326" max="326" width="1.7109375" style="121" customWidth="1"/>
    <col min="327" max="442" width="2.140625" style="121" customWidth="1"/>
    <col min="443" max="511" width="11.42578125" style="121"/>
    <col min="512" max="512" width="2.28515625" style="121" customWidth="1"/>
    <col min="513" max="513" width="23.5703125" style="121" customWidth="1"/>
    <col min="514" max="514" width="2.42578125" style="121" customWidth="1"/>
    <col min="515" max="515" width="1.7109375" style="121" customWidth="1"/>
    <col min="516" max="516" width="2.7109375" style="121" customWidth="1"/>
    <col min="517" max="517" width="7" style="121" customWidth="1"/>
    <col min="518" max="518" width="1.28515625" style="121" customWidth="1"/>
    <col min="519" max="519" width="0.7109375" style="121" customWidth="1"/>
    <col min="520" max="524" width="2.140625" style="121" customWidth="1"/>
    <col min="525" max="526" width="1.7109375" style="121" customWidth="1"/>
    <col min="527" max="536" width="2.140625" style="121" customWidth="1"/>
    <col min="537" max="537" width="6.5703125" style="121" customWidth="1"/>
    <col min="538" max="538" width="1.28515625" style="121" customWidth="1"/>
    <col min="539" max="539" width="3.7109375" style="121" customWidth="1"/>
    <col min="540" max="540" width="1.85546875" style="121" customWidth="1"/>
    <col min="541" max="544" width="2.140625" style="121" customWidth="1"/>
    <col min="545" max="546" width="6.42578125" style="121" customWidth="1"/>
    <col min="547" max="547" width="2.140625" style="121" customWidth="1"/>
    <col min="548" max="548" width="7.7109375" style="121" customWidth="1"/>
    <col min="549" max="549" width="5.5703125" style="121" customWidth="1"/>
    <col min="550" max="550" width="2.140625" style="121" customWidth="1"/>
    <col min="551" max="551" width="7" style="121" customWidth="1"/>
    <col min="552" max="552" width="6.5703125" style="121" customWidth="1"/>
    <col min="553" max="553" width="1.140625" style="121" customWidth="1"/>
    <col min="554" max="554" width="5.28515625" style="121" customWidth="1"/>
    <col min="555" max="555" width="5.42578125" style="121" customWidth="1"/>
    <col min="556" max="556" width="2" style="121" customWidth="1"/>
    <col min="557" max="559" width="2.140625" style="121" customWidth="1"/>
    <col min="560" max="560" width="2.28515625" style="121" customWidth="1"/>
    <col min="561" max="561" width="0.85546875" style="121" customWidth="1"/>
    <col min="562" max="562" width="2" style="121" customWidth="1"/>
    <col min="563" max="563" width="0" style="121" hidden="1" customWidth="1"/>
    <col min="564" max="564" width="2.140625" style="121" customWidth="1"/>
    <col min="565" max="565" width="1.5703125" style="121" customWidth="1"/>
    <col min="566" max="566" width="1.140625" style="121" customWidth="1"/>
    <col min="567" max="567" width="1" style="121" customWidth="1"/>
    <col min="568" max="568" width="5" style="121" customWidth="1"/>
    <col min="569" max="569" width="2.28515625" style="121" customWidth="1"/>
    <col min="570" max="570" width="1.42578125" style="121" customWidth="1"/>
    <col min="571" max="573" width="2.140625" style="121" customWidth="1"/>
    <col min="574" max="574" width="3.28515625" style="121" customWidth="1"/>
    <col min="575" max="575" width="2.42578125" style="121" customWidth="1"/>
    <col min="576" max="576" width="2.140625" style="121" customWidth="1"/>
    <col min="577" max="577" width="2.7109375" style="121" customWidth="1"/>
    <col min="578" max="581" width="2.140625" style="121" customWidth="1"/>
    <col min="582" max="582" width="1.7109375" style="121" customWidth="1"/>
    <col min="583" max="698" width="2.140625" style="121" customWidth="1"/>
    <col min="699" max="767" width="11.42578125" style="121"/>
    <col min="768" max="768" width="2.28515625" style="121" customWidth="1"/>
    <col min="769" max="769" width="23.5703125" style="121" customWidth="1"/>
    <col min="770" max="770" width="2.42578125" style="121" customWidth="1"/>
    <col min="771" max="771" width="1.7109375" style="121" customWidth="1"/>
    <col min="772" max="772" width="2.7109375" style="121" customWidth="1"/>
    <col min="773" max="773" width="7" style="121" customWidth="1"/>
    <col min="774" max="774" width="1.28515625" style="121" customWidth="1"/>
    <col min="775" max="775" width="0.7109375" style="121" customWidth="1"/>
    <col min="776" max="780" width="2.140625" style="121" customWidth="1"/>
    <col min="781" max="782" width="1.7109375" style="121" customWidth="1"/>
    <col min="783" max="792" width="2.140625" style="121" customWidth="1"/>
    <col min="793" max="793" width="6.5703125" style="121" customWidth="1"/>
    <col min="794" max="794" width="1.28515625" style="121" customWidth="1"/>
    <col min="795" max="795" width="3.7109375" style="121" customWidth="1"/>
    <col min="796" max="796" width="1.85546875" style="121" customWidth="1"/>
    <col min="797" max="800" width="2.140625" style="121" customWidth="1"/>
    <col min="801" max="802" width="6.42578125" style="121" customWidth="1"/>
    <col min="803" max="803" width="2.140625" style="121" customWidth="1"/>
    <col min="804" max="804" width="7.7109375" style="121" customWidth="1"/>
    <col min="805" max="805" width="5.5703125" style="121" customWidth="1"/>
    <col min="806" max="806" width="2.140625" style="121" customWidth="1"/>
    <col min="807" max="807" width="7" style="121" customWidth="1"/>
    <col min="808" max="808" width="6.5703125" style="121" customWidth="1"/>
    <col min="809" max="809" width="1.140625" style="121" customWidth="1"/>
    <col min="810" max="810" width="5.28515625" style="121" customWidth="1"/>
    <col min="811" max="811" width="5.42578125" style="121" customWidth="1"/>
    <col min="812" max="812" width="2" style="121" customWidth="1"/>
    <col min="813" max="815" width="2.140625" style="121" customWidth="1"/>
    <col min="816" max="816" width="2.28515625" style="121" customWidth="1"/>
    <col min="817" max="817" width="0.85546875" style="121" customWidth="1"/>
    <col min="818" max="818" width="2" style="121" customWidth="1"/>
    <col min="819" max="819" width="0" style="121" hidden="1" customWidth="1"/>
    <col min="820" max="820" width="2.140625" style="121" customWidth="1"/>
    <col min="821" max="821" width="1.5703125" style="121" customWidth="1"/>
    <col min="822" max="822" width="1.140625" style="121" customWidth="1"/>
    <col min="823" max="823" width="1" style="121" customWidth="1"/>
    <col min="824" max="824" width="5" style="121" customWidth="1"/>
    <col min="825" max="825" width="2.28515625" style="121" customWidth="1"/>
    <col min="826" max="826" width="1.42578125" style="121" customWidth="1"/>
    <col min="827" max="829" width="2.140625" style="121" customWidth="1"/>
    <col min="830" max="830" width="3.28515625" style="121" customWidth="1"/>
    <col min="831" max="831" width="2.42578125" style="121" customWidth="1"/>
    <col min="832" max="832" width="2.140625" style="121" customWidth="1"/>
    <col min="833" max="833" width="2.7109375" style="121" customWidth="1"/>
    <col min="834" max="837" width="2.140625" style="121" customWidth="1"/>
    <col min="838" max="838" width="1.7109375" style="121" customWidth="1"/>
    <col min="839" max="954" width="2.140625" style="121" customWidth="1"/>
    <col min="955" max="1023" width="11.42578125" style="121"/>
    <col min="1024" max="1024" width="2.28515625" style="121" customWidth="1"/>
    <col min="1025" max="1025" width="23.5703125" style="121" customWidth="1"/>
    <col min="1026" max="1026" width="2.42578125" style="121" customWidth="1"/>
    <col min="1027" max="1027" width="1.7109375" style="121" customWidth="1"/>
    <col min="1028" max="1028" width="2.7109375" style="121" customWidth="1"/>
    <col min="1029" max="1029" width="7" style="121" customWidth="1"/>
    <col min="1030" max="1030" width="1.28515625" style="121" customWidth="1"/>
    <col min="1031" max="1031" width="0.7109375" style="121" customWidth="1"/>
    <col min="1032" max="1036" width="2.140625" style="121" customWidth="1"/>
    <col min="1037" max="1038" width="1.7109375" style="121" customWidth="1"/>
    <col min="1039" max="1048" width="2.140625" style="121" customWidth="1"/>
    <col min="1049" max="1049" width="6.5703125" style="121" customWidth="1"/>
    <col min="1050" max="1050" width="1.28515625" style="121" customWidth="1"/>
    <col min="1051" max="1051" width="3.7109375" style="121" customWidth="1"/>
    <col min="1052" max="1052" width="1.85546875" style="121" customWidth="1"/>
    <col min="1053" max="1056" width="2.140625" style="121" customWidth="1"/>
    <col min="1057" max="1058" width="6.42578125" style="121" customWidth="1"/>
    <col min="1059" max="1059" width="2.140625" style="121" customWidth="1"/>
    <col min="1060" max="1060" width="7.7109375" style="121" customWidth="1"/>
    <col min="1061" max="1061" width="5.5703125" style="121" customWidth="1"/>
    <col min="1062" max="1062" width="2.140625" style="121" customWidth="1"/>
    <col min="1063" max="1063" width="7" style="121" customWidth="1"/>
    <col min="1064" max="1064" width="6.5703125" style="121" customWidth="1"/>
    <col min="1065" max="1065" width="1.140625" style="121" customWidth="1"/>
    <col min="1066" max="1066" width="5.28515625" style="121" customWidth="1"/>
    <col min="1067" max="1067" width="5.42578125" style="121" customWidth="1"/>
    <col min="1068" max="1068" width="2" style="121" customWidth="1"/>
    <col min="1069" max="1071" width="2.140625" style="121" customWidth="1"/>
    <col min="1072" max="1072" width="2.28515625" style="121" customWidth="1"/>
    <col min="1073" max="1073" width="0.85546875" style="121" customWidth="1"/>
    <col min="1074" max="1074" width="2" style="121" customWidth="1"/>
    <col min="1075" max="1075" width="0" style="121" hidden="1" customWidth="1"/>
    <col min="1076" max="1076" width="2.140625" style="121" customWidth="1"/>
    <col min="1077" max="1077" width="1.5703125" style="121" customWidth="1"/>
    <col min="1078" max="1078" width="1.140625" style="121" customWidth="1"/>
    <col min="1079" max="1079" width="1" style="121" customWidth="1"/>
    <col min="1080" max="1080" width="5" style="121" customWidth="1"/>
    <col min="1081" max="1081" width="2.28515625" style="121" customWidth="1"/>
    <col min="1082" max="1082" width="1.42578125" style="121" customWidth="1"/>
    <col min="1083" max="1085" width="2.140625" style="121" customWidth="1"/>
    <col min="1086" max="1086" width="3.28515625" style="121" customWidth="1"/>
    <col min="1087" max="1087" width="2.42578125" style="121" customWidth="1"/>
    <col min="1088" max="1088" width="2.140625" style="121" customWidth="1"/>
    <col min="1089" max="1089" width="2.7109375" style="121" customWidth="1"/>
    <col min="1090" max="1093" width="2.140625" style="121" customWidth="1"/>
    <col min="1094" max="1094" width="1.7109375" style="121" customWidth="1"/>
    <col min="1095" max="1210" width="2.140625" style="121" customWidth="1"/>
    <col min="1211" max="1279" width="11.42578125" style="121"/>
    <col min="1280" max="1280" width="2.28515625" style="121" customWidth="1"/>
    <col min="1281" max="1281" width="23.5703125" style="121" customWidth="1"/>
    <col min="1282" max="1282" width="2.42578125" style="121" customWidth="1"/>
    <col min="1283" max="1283" width="1.7109375" style="121" customWidth="1"/>
    <col min="1284" max="1284" width="2.7109375" style="121" customWidth="1"/>
    <col min="1285" max="1285" width="7" style="121" customWidth="1"/>
    <col min="1286" max="1286" width="1.28515625" style="121" customWidth="1"/>
    <col min="1287" max="1287" width="0.7109375" style="121" customWidth="1"/>
    <col min="1288" max="1292" width="2.140625" style="121" customWidth="1"/>
    <col min="1293" max="1294" width="1.7109375" style="121" customWidth="1"/>
    <col min="1295" max="1304" width="2.140625" style="121" customWidth="1"/>
    <col min="1305" max="1305" width="6.5703125" style="121" customWidth="1"/>
    <col min="1306" max="1306" width="1.28515625" style="121" customWidth="1"/>
    <col min="1307" max="1307" width="3.7109375" style="121" customWidth="1"/>
    <col min="1308" max="1308" width="1.85546875" style="121" customWidth="1"/>
    <col min="1309" max="1312" width="2.140625" style="121" customWidth="1"/>
    <col min="1313" max="1314" width="6.42578125" style="121" customWidth="1"/>
    <col min="1315" max="1315" width="2.140625" style="121" customWidth="1"/>
    <col min="1316" max="1316" width="7.7109375" style="121" customWidth="1"/>
    <col min="1317" max="1317" width="5.5703125" style="121" customWidth="1"/>
    <col min="1318" max="1318" width="2.140625" style="121" customWidth="1"/>
    <col min="1319" max="1319" width="7" style="121" customWidth="1"/>
    <col min="1320" max="1320" width="6.5703125" style="121" customWidth="1"/>
    <col min="1321" max="1321" width="1.140625" style="121" customWidth="1"/>
    <col min="1322" max="1322" width="5.28515625" style="121" customWidth="1"/>
    <col min="1323" max="1323" width="5.42578125" style="121" customWidth="1"/>
    <col min="1324" max="1324" width="2" style="121" customWidth="1"/>
    <col min="1325" max="1327" width="2.140625" style="121" customWidth="1"/>
    <col min="1328" max="1328" width="2.28515625" style="121" customWidth="1"/>
    <col min="1329" max="1329" width="0.85546875" style="121" customWidth="1"/>
    <col min="1330" max="1330" width="2" style="121" customWidth="1"/>
    <col min="1331" max="1331" width="0" style="121" hidden="1" customWidth="1"/>
    <col min="1332" max="1332" width="2.140625" style="121" customWidth="1"/>
    <col min="1333" max="1333" width="1.5703125" style="121" customWidth="1"/>
    <col min="1334" max="1334" width="1.140625" style="121" customWidth="1"/>
    <col min="1335" max="1335" width="1" style="121" customWidth="1"/>
    <col min="1336" max="1336" width="5" style="121" customWidth="1"/>
    <col min="1337" max="1337" width="2.28515625" style="121" customWidth="1"/>
    <col min="1338" max="1338" width="1.42578125" style="121" customWidth="1"/>
    <col min="1339" max="1341" width="2.140625" style="121" customWidth="1"/>
    <col min="1342" max="1342" width="3.28515625" style="121" customWidth="1"/>
    <col min="1343" max="1343" width="2.42578125" style="121" customWidth="1"/>
    <col min="1344" max="1344" width="2.140625" style="121" customWidth="1"/>
    <col min="1345" max="1345" width="2.7109375" style="121" customWidth="1"/>
    <col min="1346" max="1349" width="2.140625" style="121" customWidth="1"/>
    <col min="1350" max="1350" width="1.7109375" style="121" customWidth="1"/>
    <col min="1351" max="1466" width="2.140625" style="121" customWidth="1"/>
    <col min="1467" max="1535" width="11.42578125" style="121"/>
    <col min="1536" max="1536" width="2.28515625" style="121" customWidth="1"/>
    <col min="1537" max="1537" width="23.5703125" style="121" customWidth="1"/>
    <col min="1538" max="1538" width="2.42578125" style="121" customWidth="1"/>
    <col min="1539" max="1539" width="1.7109375" style="121" customWidth="1"/>
    <col min="1540" max="1540" width="2.7109375" style="121" customWidth="1"/>
    <col min="1541" max="1541" width="7" style="121" customWidth="1"/>
    <col min="1542" max="1542" width="1.28515625" style="121" customWidth="1"/>
    <col min="1543" max="1543" width="0.7109375" style="121" customWidth="1"/>
    <col min="1544" max="1548" width="2.140625" style="121" customWidth="1"/>
    <col min="1549" max="1550" width="1.7109375" style="121" customWidth="1"/>
    <col min="1551" max="1560" width="2.140625" style="121" customWidth="1"/>
    <col min="1561" max="1561" width="6.5703125" style="121" customWidth="1"/>
    <col min="1562" max="1562" width="1.28515625" style="121" customWidth="1"/>
    <col min="1563" max="1563" width="3.7109375" style="121" customWidth="1"/>
    <col min="1564" max="1564" width="1.85546875" style="121" customWidth="1"/>
    <col min="1565" max="1568" width="2.140625" style="121" customWidth="1"/>
    <col min="1569" max="1570" width="6.42578125" style="121" customWidth="1"/>
    <col min="1571" max="1571" width="2.140625" style="121" customWidth="1"/>
    <col min="1572" max="1572" width="7.7109375" style="121" customWidth="1"/>
    <col min="1573" max="1573" width="5.5703125" style="121" customWidth="1"/>
    <col min="1574" max="1574" width="2.140625" style="121" customWidth="1"/>
    <col min="1575" max="1575" width="7" style="121" customWidth="1"/>
    <col min="1576" max="1576" width="6.5703125" style="121" customWidth="1"/>
    <col min="1577" max="1577" width="1.140625" style="121" customWidth="1"/>
    <col min="1578" max="1578" width="5.28515625" style="121" customWidth="1"/>
    <col min="1579" max="1579" width="5.42578125" style="121" customWidth="1"/>
    <col min="1580" max="1580" width="2" style="121" customWidth="1"/>
    <col min="1581" max="1583" width="2.140625" style="121" customWidth="1"/>
    <col min="1584" max="1584" width="2.28515625" style="121" customWidth="1"/>
    <col min="1585" max="1585" width="0.85546875" style="121" customWidth="1"/>
    <col min="1586" max="1586" width="2" style="121" customWidth="1"/>
    <col min="1587" max="1587" width="0" style="121" hidden="1" customWidth="1"/>
    <col min="1588" max="1588" width="2.140625" style="121" customWidth="1"/>
    <col min="1589" max="1589" width="1.5703125" style="121" customWidth="1"/>
    <col min="1590" max="1590" width="1.140625" style="121" customWidth="1"/>
    <col min="1591" max="1591" width="1" style="121" customWidth="1"/>
    <col min="1592" max="1592" width="5" style="121" customWidth="1"/>
    <col min="1593" max="1593" width="2.28515625" style="121" customWidth="1"/>
    <col min="1594" max="1594" width="1.42578125" style="121" customWidth="1"/>
    <col min="1595" max="1597" width="2.140625" style="121" customWidth="1"/>
    <col min="1598" max="1598" width="3.28515625" style="121" customWidth="1"/>
    <col min="1599" max="1599" width="2.42578125" style="121" customWidth="1"/>
    <col min="1600" max="1600" width="2.140625" style="121" customWidth="1"/>
    <col min="1601" max="1601" width="2.7109375" style="121" customWidth="1"/>
    <col min="1602" max="1605" width="2.140625" style="121" customWidth="1"/>
    <col min="1606" max="1606" width="1.7109375" style="121" customWidth="1"/>
    <col min="1607" max="1722" width="2.140625" style="121" customWidth="1"/>
    <col min="1723" max="1791" width="11.42578125" style="121"/>
    <col min="1792" max="1792" width="2.28515625" style="121" customWidth="1"/>
    <col min="1793" max="1793" width="23.5703125" style="121" customWidth="1"/>
    <col min="1794" max="1794" width="2.42578125" style="121" customWidth="1"/>
    <col min="1795" max="1795" width="1.7109375" style="121" customWidth="1"/>
    <col min="1796" max="1796" width="2.7109375" style="121" customWidth="1"/>
    <col min="1797" max="1797" width="7" style="121" customWidth="1"/>
    <col min="1798" max="1798" width="1.28515625" style="121" customWidth="1"/>
    <col min="1799" max="1799" width="0.7109375" style="121" customWidth="1"/>
    <col min="1800" max="1804" width="2.140625" style="121" customWidth="1"/>
    <col min="1805" max="1806" width="1.7109375" style="121" customWidth="1"/>
    <col min="1807" max="1816" width="2.140625" style="121" customWidth="1"/>
    <col min="1817" max="1817" width="6.5703125" style="121" customWidth="1"/>
    <col min="1818" max="1818" width="1.28515625" style="121" customWidth="1"/>
    <col min="1819" max="1819" width="3.7109375" style="121" customWidth="1"/>
    <col min="1820" max="1820" width="1.85546875" style="121" customWidth="1"/>
    <col min="1821" max="1824" width="2.140625" style="121" customWidth="1"/>
    <col min="1825" max="1826" width="6.42578125" style="121" customWidth="1"/>
    <col min="1827" max="1827" width="2.140625" style="121" customWidth="1"/>
    <col min="1828" max="1828" width="7.7109375" style="121" customWidth="1"/>
    <col min="1829" max="1829" width="5.5703125" style="121" customWidth="1"/>
    <col min="1830" max="1830" width="2.140625" style="121" customWidth="1"/>
    <col min="1831" max="1831" width="7" style="121" customWidth="1"/>
    <col min="1832" max="1832" width="6.5703125" style="121" customWidth="1"/>
    <col min="1833" max="1833" width="1.140625" style="121" customWidth="1"/>
    <col min="1834" max="1834" width="5.28515625" style="121" customWidth="1"/>
    <col min="1835" max="1835" width="5.42578125" style="121" customWidth="1"/>
    <col min="1836" max="1836" width="2" style="121" customWidth="1"/>
    <col min="1837" max="1839" width="2.140625" style="121" customWidth="1"/>
    <col min="1840" max="1840" width="2.28515625" style="121" customWidth="1"/>
    <col min="1841" max="1841" width="0.85546875" style="121" customWidth="1"/>
    <col min="1842" max="1842" width="2" style="121" customWidth="1"/>
    <col min="1843" max="1843" width="0" style="121" hidden="1" customWidth="1"/>
    <col min="1844" max="1844" width="2.140625" style="121" customWidth="1"/>
    <col min="1845" max="1845" width="1.5703125" style="121" customWidth="1"/>
    <col min="1846" max="1846" width="1.140625" style="121" customWidth="1"/>
    <col min="1847" max="1847" width="1" style="121" customWidth="1"/>
    <col min="1848" max="1848" width="5" style="121" customWidth="1"/>
    <col min="1849" max="1849" width="2.28515625" style="121" customWidth="1"/>
    <col min="1850" max="1850" width="1.42578125" style="121" customWidth="1"/>
    <col min="1851" max="1853" width="2.140625" style="121" customWidth="1"/>
    <col min="1854" max="1854" width="3.28515625" style="121" customWidth="1"/>
    <col min="1855" max="1855" width="2.42578125" style="121" customWidth="1"/>
    <col min="1856" max="1856" width="2.140625" style="121" customWidth="1"/>
    <col min="1857" max="1857" width="2.7109375" style="121" customWidth="1"/>
    <col min="1858" max="1861" width="2.140625" style="121" customWidth="1"/>
    <col min="1862" max="1862" width="1.7109375" style="121" customWidth="1"/>
    <col min="1863" max="1978" width="2.140625" style="121" customWidth="1"/>
    <col min="1979" max="2047" width="11.42578125" style="121"/>
    <col min="2048" max="2048" width="2.28515625" style="121" customWidth="1"/>
    <col min="2049" max="2049" width="23.5703125" style="121" customWidth="1"/>
    <col min="2050" max="2050" width="2.42578125" style="121" customWidth="1"/>
    <col min="2051" max="2051" width="1.7109375" style="121" customWidth="1"/>
    <col min="2052" max="2052" width="2.7109375" style="121" customWidth="1"/>
    <col min="2053" max="2053" width="7" style="121" customWidth="1"/>
    <col min="2054" max="2054" width="1.28515625" style="121" customWidth="1"/>
    <col min="2055" max="2055" width="0.7109375" style="121" customWidth="1"/>
    <col min="2056" max="2060" width="2.140625" style="121" customWidth="1"/>
    <col min="2061" max="2062" width="1.7109375" style="121" customWidth="1"/>
    <col min="2063" max="2072" width="2.140625" style="121" customWidth="1"/>
    <col min="2073" max="2073" width="6.5703125" style="121" customWidth="1"/>
    <col min="2074" max="2074" width="1.28515625" style="121" customWidth="1"/>
    <col min="2075" max="2075" width="3.7109375" style="121" customWidth="1"/>
    <col min="2076" max="2076" width="1.85546875" style="121" customWidth="1"/>
    <col min="2077" max="2080" width="2.140625" style="121" customWidth="1"/>
    <col min="2081" max="2082" width="6.42578125" style="121" customWidth="1"/>
    <col min="2083" max="2083" width="2.140625" style="121" customWidth="1"/>
    <col min="2084" max="2084" width="7.7109375" style="121" customWidth="1"/>
    <col min="2085" max="2085" width="5.5703125" style="121" customWidth="1"/>
    <col min="2086" max="2086" width="2.140625" style="121" customWidth="1"/>
    <col min="2087" max="2087" width="7" style="121" customWidth="1"/>
    <col min="2088" max="2088" width="6.5703125" style="121" customWidth="1"/>
    <col min="2089" max="2089" width="1.140625" style="121" customWidth="1"/>
    <col min="2090" max="2090" width="5.28515625" style="121" customWidth="1"/>
    <col min="2091" max="2091" width="5.42578125" style="121" customWidth="1"/>
    <col min="2092" max="2092" width="2" style="121" customWidth="1"/>
    <col min="2093" max="2095" width="2.140625" style="121" customWidth="1"/>
    <col min="2096" max="2096" width="2.28515625" style="121" customWidth="1"/>
    <col min="2097" max="2097" width="0.85546875" style="121" customWidth="1"/>
    <col min="2098" max="2098" width="2" style="121" customWidth="1"/>
    <col min="2099" max="2099" width="0" style="121" hidden="1" customWidth="1"/>
    <col min="2100" max="2100" width="2.140625" style="121" customWidth="1"/>
    <col min="2101" max="2101" width="1.5703125" style="121" customWidth="1"/>
    <col min="2102" max="2102" width="1.140625" style="121" customWidth="1"/>
    <col min="2103" max="2103" width="1" style="121" customWidth="1"/>
    <col min="2104" max="2104" width="5" style="121" customWidth="1"/>
    <col min="2105" max="2105" width="2.28515625" style="121" customWidth="1"/>
    <col min="2106" max="2106" width="1.42578125" style="121" customWidth="1"/>
    <col min="2107" max="2109" width="2.140625" style="121" customWidth="1"/>
    <col min="2110" max="2110" width="3.28515625" style="121" customWidth="1"/>
    <col min="2111" max="2111" width="2.42578125" style="121" customWidth="1"/>
    <col min="2112" max="2112" width="2.140625" style="121" customWidth="1"/>
    <col min="2113" max="2113" width="2.7109375" style="121" customWidth="1"/>
    <col min="2114" max="2117" width="2.140625" style="121" customWidth="1"/>
    <col min="2118" max="2118" width="1.7109375" style="121" customWidth="1"/>
    <col min="2119" max="2234" width="2.140625" style="121" customWidth="1"/>
    <col min="2235" max="2303" width="11.42578125" style="121"/>
    <col min="2304" max="2304" width="2.28515625" style="121" customWidth="1"/>
    <col min="2305" max="2305" width="23.5703125" style="121" customWidth="1"/>
    <col min="2306" max="2306" width="2.42578125" style="121" customWidth="1"/>
    <col min="2307" max="2307" width="1.7109375" style="121" customWidth="1"/>
    <col min="2308" max="2308" width="2.7109375" style="121" customWidth="1"/>
    <col min="2309" max="2309" width="7" style="121" customWidth="1"/>
    <col min="2310" max="2310" width="1.28515625" style="121" customWidth="1"/>
    <col min="2311" max="2311" width="0.7109375" style="121" customWidth="1"/>
    <col min="2312" max="2316" width="2.140625" style="121" customWidth="1"/>
    <col min="2317" max="2318" width="1.7109375" style="121" customWidth="1"/>
    <col min="2319" max="2328" width="2.140625" style="121" customWidth="1"/>
    <col min="2329" max="2329" width="6.5703125" style="121" customWidth="1"/>
    <col min="2330" max="2330" width="1.28515625" style="121" customWidth="1"/>
    <col min="2331" max="2331" width="3.7109375" style="121" customWidth="1"/>
    <col min="2332" max="2332" width="1.85546875" style="121" customWidth="1"/>
    <col min="2333" max="2336" width="2.140625" style="121" customWidth="1"/>
    <col min="2337" max="2338" width="6.42578125" style="121" customWidth="1"/>
    <col min="2339" max="2339" width="2.140625" style="121" customWidth="1"/>
    <col min="2340" max="2340" width="7.7109375" style="121" customWidth="1"/>
    <col min="2341" max="2341" width="5.5703125" style="121" customWidth="1"/>
    <col min="2342" max="2342" width="2.140625" style="121" customWidth="1"/>
    <col min="2343" max="2343" width="7" style="121" customWidth="1"/>
    <col min="2344" max="2344" width="6.5703125" style="121" customWidth="1"/>
    <col min="2345" max="2345" width="1.140625" style="121" customWidth="1"/>
    <col min="2346" max="2346" width="5.28515625" style="121" customWidth="1"/>
    <col min="2347" max="2347" width="5.42578125" style="121" customWidth="1"/>
    <col min="2348" max="2348" width="2" style="121" customWidth="1"/>
    <col min="2349" max="2351" width="2.140625" style="121" customWidth="1"/>
    <col min="2352" max="2352" width="2.28515625" style="121" customWidth="1"/>
    <col min="2353" max="2353" width="0.85546875" style="121" customWidth="1"/>
    <col min="2354" max="2354" width="2" style="121" customWidth="1"/>
    <col min="2355" max="2355" width="0" style="121" hidden="1" customWidth="1"/>
    <col min="2356" max="2356" width="2.140625" style="121" customWidth="1"/>
    <col min="2357" max="2357" width="1.5703125" style="121" customWidth="1"/>
    <col min="2358" max="2358" width="1.140625" style="121" customWidth="1"/>
    <col min="2359" max="2359" width="1" style="121" customWidth="1"/>
    <col min="2360" max="2360" width="5" style="121" customWidth="1"/>
    <col min="2361" max="2361" width="2.28515625" style="121" customWidth="1"/>
    <col min="2362" max="2362" width="1.42578125" style="121" customWidth="1"/>
    <col min="2363" max="2365" width="2.140625" style="121" customWidth="1"/>
    <col min="2366" max="2366" width="3.28515625" style="121" customWidth="1"/>
    <col min="2367" max="2367" width="2.42578125" style="121" customWidth="1"/>
    <col min="2368" max="2368" width="2.140625" style="121" customWidth="1"/>
    <col min="2369" max="2369" width="2.7109375" style="121" customWidth="1"/>
    <col min="2370" max="2373" width="2.140625" style="121" customWidth="1"/>
    <col min="2374" max="2374" width="1.7109375" style="121" customWidth="1"/>
    <col min="2375" max="2490" width="2.140625" style="121" customWidth="1"/>
    <col min="2491" max="2559" width="11.42578125" style="121"/>
    <col min="2560" max="2560" width="2.28515625" style="121" customWidth="1"/>
    <col min="2561" max="2561" width="23.5703125" style="121" customWidth="1"/>
    <col min="2562" max="2562" width="2.42578125" style="121" customWidth="1"/>
    <col min="2563" max="2563" width="1.7109375" style="121" customWidth="1"/>
    <col min="2564" max="2564" width="2.7109375" style="121" customWidth="1"/>
    <col min="2565" max="2565" width="7" style="121" customWidth="1"/>
    <col min="2566" max="2566" width="1.28515625" style="121" customWidth="1"/>
    <col min="2567" max="2567" width="0.7109375" style="121" customWidth="1"/>
    <col min="2568" max="2572" width="2.140625" style="121" customWidth="1"/>
    <col min="2573" max="2574" width="1.7109375" style="121" customWidth="1"/>
    <col min="2575" max="2584" width="2.140625" style="121" customWidth="1"/>
    <col min="2585" max="2585" width="6.5703125" style="121" customWidth="1"/>
    <col min="2586" max="2586" width="1.28515625" style="121" customWidth="1"/>
    <col min="2587" max="2587" width="3.7109375" style="121" customWidth="1"/>
    <col min="2588" max="2588" width="1.85546875" style="121" customWidth="1"/>
    <col min="2589" max="2592" width="2.140625" style="121" customWidth="1"/>
    <col min="2593" max="2594" width="6.42578125" style="121" customWidth="1"/>
    <col min="2595" max="2595" width="2.140625" style="121" customWidth="1"/>
    <col min="2596" max="2596" width="7.7109375" style="121" customWidth="1"/>
    <col min="2597" max="2597" width="5.5703125" style="121" customWidth="1"/>
    <col min="2598" max="2598" width="2.140625" style="121" customWidth="1"/>
    <col min="2599" max="2599" width="7" style="121" customWidth="1"/>
    <col min="2600" max="2600" width="6.5703125" style="121" customWidth="1"/>
    <col min="2601" max="2601" width="1.140625" style="121" customWidth="1"/>
    <col min="2602" max="2602" width="5.28515625" style="121" customWidth="1"/>
    <col min="2603" max="2603" width="5.42578125" style="121" customWidth="1"/>
    <col min="2604" max="2604" width="2" style="121" customWidth="1"/>
    <col min="2605" max="2607" width="2.140625" style="121" customWidth="1"/>
    <col min="2608" max="2608" width="2.28515625" style="121" customWidth="1"/>
    <col min="2609" max="2609" width="0.85546875" style="121" customWidth="1"/>
    <col min="2610" max="2610" width="2" style="121" customWidth="1"/>
    <col min="2611" max="2611" width="0" style="121" hidden="1" customWidth="1"/>
    <col min="2612" max="2612" width="2.140625" style="121" customWidth="1"/>
    <col min="2613" max="2613" width="1.5703125" style="121" customWidth="1"/>
    <col min="2614" max="2614" width="1.140625" style="121" customWidth="1"/>
    <col min="2615" max="2615" width="1" style="121" customWidth="1"/>
    <col min="2616" max="2616" width="5" style="121" customWidth="1"/>
    <col min="2617" max="2617" width="2.28515625" style="121" customWidth="1"/>
    <col min="2618" max="2618" width="1.42578125" style="121" customWidth="1"/>
    <col min="2619" max="2621" width="2.140625" style="121" customWidth="1"/>
    <col min="2622" max="2622" width="3.28515625" style="121" customWidth="1"/>
    <col min="2623" max="2623" width="2.42578125" style="121" customWidth="1"/>
    <col min="2624" max="2624" width="2.140625" style="121" customWidth="1"/>
    <col min="2625" max="2625" width="2.7109375" style="121" customWidth="1"/>
    <col min="2626" max="2629" width="2.140625" style="121" customWidth="1"/>
    <col min="2630" max="2630" width="1.7109375" style="121" customWidth="1"/>
    <col min="2631" max="2746" width="2.140625" style="121" customWidth="1"/>
    <col min="2747" max="2815" width="11.42578125" style="121"/>
    <col min="2816" max="2816" width="2.28515625" style="121" customWidth="1"/>
    <col min="2817" max="2817" width="23.5703125" style="121" customWidth="1"/>
    <col min="2818" max="2818" width="2.42578125" style="121" customWidth="1"/>
    <col min="2819" max="2819" width="1.7109375" style="121" customWidth="1"/>
    <col min="2820" max="2820" width="2.7109375" style="121" customWidth="1"/>
    <col min="2821" max="2821" width="7" style="121" customWidth="1"/>
    <col min="2822" max="2822" width="1.28515625" style="121" customWidth="1"/>
    <col min="2823" max="2823" width="0.7109375" style="121" customWidth="1"/>
    <col min="2824" max="2828" width="2.140625" style="121" customWidth="1"/>
    <col min="2829" max="2830" width="1.7109375" style="121" customWidth="1"/>
    <col min="2831" max="2840" width="2.140625" style="121" customWidth="1"/>
    <col min="2841" max="2841" width="6.5703125" style="121" customWidth="1"/>
    <col min="2842" max="2842" width="1.28515625" style="121" customWidth="1"/>
    <col min="2843" max="2843" width="3.7109375" style="121" customWidth="1"/>
    <col min="2844" max="2844" width="1.85546875" style="121" customWidth="1"/>
    <col min="2845" max="2848" width="2.140625" style="121" customWidth="1"/>
    <col min="2849" max="2850" width="6.42578125" style="121" customWidth="1"/>
    <col min="2851" max="2851" width="2.140625" style="121" customWidth="1"/>
    <col min="2852" max="2852" width="7.7109375" style="121" customWidth="1"/>
    <col min="2853" max="2853" width="5.5703125" style="121" customWidth="1"/>
    <col min="2854" max="2854" width="2.140625" style="121" customWidth="1"/>
    <col min="2855" max="2855" width="7" style="121" customWidth="1"/>
    <col min="2856" max="2856" width="6.5703125" style="121" customWidth="1"/>
    <col min="2857" max="2857" width="1.140625" style="121" customWidth="1"/>
    <col min="2858" max="2858" width="5.28515625" style="121" customWidth="1"/>
    <col min="2859" max="2859" width="5.42578125" style="121" customWidth="1"/>
    <col min="2860" max="2860" width="2" style="121" customWidth="1"/>
    <col min="2861" max="2863" width="2.140625" style="121" customWidth="1"/>
    <col min="2864" max="2864" width="2.28515625" style="121" customWidth="1"/>
    <col min="2865" max="2865" width="0.85546875" style="121" customWidth="1"/>
    <col min="2866" max="2866" width="2" style="121" customWidth="1"/>
    <col min="2867" max="2867" width="0" style="121" hidden="1" customWidth="1"/>
    <col min="2868" max="2868" width="2.140625" style="121" customWidth="1"/>
    <col min="2869" max="2869" width="1.5703125" style="121" customWidth="1"/>
    <col min="2870" max="2870" width="1.140625" style="121" customWidth="1"/>
    <col min="2871" max="2871" width="1" style="121" customWidth="1"/>
    <col min="2872" max="2872" width="5" style="121" customWidth="1"/>
    <col min="2873" max="2873" width="2.28515625" style="121" customWidth="1"/>
    <col min="2874" max="2874" width="1.42578125" style="121" customWidth="1"/>
    <col min="2875" max="2877" width="2.140625" style="121" customWidth="1"/>
    <col min="2878" max="2878" width="3.28515625" style="121" customWidth="1"/>
    <col min="2879" max="2879" width="2.42578125" style="121" customWidth="1"/>
    <col min="2880" max="2880" width="2.140625" style="121" customWidth="1"/>
    <col min="2881" max="2881" width="2.7109375" style="121" customWidth="1"/>
    <col min="2882" max="2885" width="2.140625" style="121" customWidth="1"/>
    <col min="2886" max="2886" width="1.7109375" style="121" customWidth="1"/>
    <col min="2887" max="3002" width="2.140625" style="121" customWidth="1"/>
    <col min="3003" max="3071" width="11.42578125" style="121"/>
    <col min="3072" max="3072" width="2.28515625" style="121" customWidth="1"/>
    <col min="3073" max="3073" width="23.5703125" style="121" customWidth="1"/>
    <col min="3074" max="3074" width="2.42578125" style="121" customWidth="1"/>
    <col min="3075" max="3075" width="1.7109375" style="121" customWidth="1"/>
    <col min="3076" max="3076" width="2.7109375" style="121" customWidth="1"/>
    <col min="3077" max="3077" width="7" style="121" customWidth="1"/>
    <col min="3078" max="3078" width="1.28515625" style="121" customWidth="1"/>
    <col min="3079" max="3079" width="0.7109375" style="121" customWidth="1"/>
    <col min="3080" max="3084" width="2.140625" style="121" customWidth="1"/>
    <col min="3085" max="3086" width="1.7109375" style="121" customWidth="1"/>
    <col min="3087" max="3096" width="2.140625" style="121" customWidth="1"/>
    <col min="3097" max="3097" width="6.5703125" style="121" customWidth="1"/>
    <col min="3098" max="3098" width="1.28515625" style="121" customWidth="1"/>
    <col min="3099" max="3099" width="3.7109375" style="121" customWidth="1"/>
    <col min="3100" max="3100" width="1.85546875" style="121" customWidth="1"/>
    <col min="3101" max="3104" width="2.140625" style="121" customWidth="1"/>
    <col min="3105" max="3106" width="6.42578125" style="121" customWidth="1"/>
    <col min="3107" max="3107" width="2.140625" style="121" customWidth="1"/>
    <col min="3108" max="3108" width="7.7109375" style="121" customWidth="1"/>
    <col min="3109" max="3109" width="5.5703125" style="121" customWidth="1"/>
    <col min="3110" max="3110" width="2.140625" style="121" customWidth="1"/>
    <col min="3111" max="3111" width="7" style="121" customWidth="1"/>
    <col min="3112" max="3112" width="6.5703125" style="121" customWidth="1"/>
    <col min="3113" max="3113" width="1.140625" style="121" customWidth="1"/>
    <col min="3114" max="3114" width="5.28515625" style="121" customWidth="1"/>
    <col min="3115" max="3115" width="5.42578125" style="121" customWidth="1"/>
    <col min="3116" max="3116" width="2" style="121" customWidth="1"/>
    <col min="3117" max="3119" width="2.140625" style="121" customWidth="1"/>
    <col min="3120" max="3120" width="2.28515625" style="121" customWidth="1"/>
    <col min="3121" max="3121" width="0.85546875" style="121" customWidth="1"/>
    <col min="3122" max="3122" width="2" style="121" customWidth="1"/>
    <col min="3123" max="3123" width="0" style="121" hidden="1" customWidth="1"/>
    <col min="3124" max="3124" width="2.140625" style="121" customWidth="1"/>
    <col min="3125" max="3125" width="1.5703125" style="121" customWidth="1"/>
    <col min="3126" max="3126" width="1.140625" style="121" customWidth="1"/>
    <col min="3127" max="3127" width="1" style="121" customWidth="1"/>
    <col min="3128" max="3128" width="5" style="121" customWidth="1"/>
    <col min="3129" max="3129" width="2.28515625" style="121" customWidth="1"/>
    <col min="3130" max="3130" width="1.42578125" style="121" customWidth="1"/>
    <col min="3131" max="3133" width="2.140625" style="121" customWidth="1"/>
    <col min="3134" max="3134" width="3.28515625" style="121" customWidth="1"/>
    <col min="3135" max="3135" width="2.42578125" style="121" customWidth="1"/>
    <col min="3136" max="3136" width="2.140625" style="121" customWidth="1"/>
    <col min="3137" max="3137" width="2.7109375" style="121" customWidth="1"/>
    <col min="3138" max="3141" width="2.140625" style="121" customWidth="1"/>
    <col min="3142" max="3142" width="1.7109375" style="121" customWidth="1"/>
    <col min="3143" max="3258" width="2.140625" style="121" customWidth="1"/>
    <col min="3259" max="3327" width="11.42578125" style="121"/>
    <col min="3328" max="3328" width="2.28515625" style="121" customWidth="1"/>
    <col min="3329" max="3329" width="23.5703125" style="121" customWidth="1"/>
    <col min="3330" max="3330" width="2.42578125" style="121" customWidth="1"/>
    <col min="3331" max="3331" width="1.7109375" style="121" customWidth="1"/>
    <col min="3332" max="3332" width="2.7109375" style="121" customWidth="1"/>
    <col min="3333" max="3333" width="7" style="121" customWidth="1"/>
    <col min="3334" max="3334" width="1.28515625" style="121" customWidth="1"/>
    <col min="3335" max="3335" width="0.7109375" style="121" customWidth="1"/>
    <col min="3336" max="3340" width="2.140625" style="121" customWidth="1"/>
    <col min="3341" max="3342" width="1.7109375" style="121" customWidth="1"/>
    <col min="3343" max="3352" width="2.140625" style="121" customWidth="1"/>
    <col min="3353" max="3353" width="6.5703125" style="121" customWidth="1"/>
    <col min="3354" max="3354" width="1.28515625" style="121" customWidth="1"/>
    <col min="3355" max="3355" width="3.7109375" style="121" customWidth="1"/>
    <col min="3356" max="3356" width="1.85546875" style="121" customWidth="1"/>
    <col min="3357" max="3360" width="2.140625" style="121" customWidth="1"/>
    <col min="3361" max="3362" width="6.42578125" style="121" customWidth="1"/>
    <col min="3363" max="3363" width="2.140625" style="121" customWidth="1"/>
    <col min="3364" max="3364" width="7.7109375" style="121" customWidth="1"/>
    <col min="3365" max="3365" width="5.5703125" style="121" customWidth="1"/>
    <col min="3366" max="3366" width="2.140625" style="121" customWidth="1"/>
    <col min="3367" max="3367" width="7" style="121" customWidth="1"/>
    <col min="3368" max="3368" width="6.5703125" style="121" customWidth="1"/>
    <col min="3369" max="3369" width="1.140625" style="121" customWidth="1"/>
    <col min="3370" max="3370" width="5.28515625" style="121" customWidth="1"/>
    <col min="3371" max="3371" width="5.42578125" style="121" customWidth="1"/>
    <col min="3372" max="3372" width="2" style="121" customWidth="1"/>
    <col min="3373" max="3375" width="2.140625" style="121" customWidth="1"/>
    <col min="3376" max="3376" width="2.28515625" style="121" customWidth="1"/>
    <col min="3377" max="3377" width="0.85546875" style="121" customWidth="1"/>
    <col min="3378" max="3378" width="2" style="121" customWidth="1"/>
    <col min="3379" max="3379" width="0" style="121" hidden="1" customWidth="1"/>
    <col min="3380" max="3380" width="2.140625" style="121" customWidth="1"/>
    <col min="3381" max="3381" width="1.5703125" style="121" customWidth="1"/>
    <col min="3382" max="3382" width="1.140625" style="121" customWidth="1"/>
    <col min="3383" max="3383" width="1" style="121" customWidth="1"/>
    <col min="3384" max="3384" width="5" style="121" customWidth="1"/>
    <col min="3385" max="3385" width="2.28515625" style="121" customWidth="1"/>
    <col min="3386" max="3386" width="1.42578125" style="121" customWidth="1"/>
    <col min="3387" max="3389" width="2.140625" style="121" customWidth="1"/>
    <col min="3390" max="3390" width="3.28515625" style="121" customWidth="1"/>
    <col min="3391" max="3391" width="2.42578125" style="121" customWidth="1"/>
    <col min="3392" max="3392" width="2.140625" style="121" customWidth="1"/>
    <col min="3393" max="3393" width="2.7109375" style="121" customWidth="1"/>
    <col min="3394" max="3397" width="2.140625" style="121" customWidth="1"/>
    <col min="3398" max="3398" width="1.7109375" style="121" customWidth="1"/>
    <col min="3399" max="3514" width="2.140625" style="121" customWidth="1"/>
    <col min="3515" max="3583" width="11.42578125" style="121"/>
    <col min="3584" max="3584" width="2.28515625" style="121" customWidth="1"/>
    <col min="3585" max="3585" width="23.5703125" style="121" customWidth="1"/>
    <col min="3586" max="3586" width="2.42578125" style="121" customWidth="1"/>
    <col min="3587" max="3587" width="1.7109375" style="121" customWidth="1"/>
    <col min="3588" max="3588" width="2.7109375" style="121" customWidth="1"/>
    <col min="3589" max="3589" width="7" style="121" customWidth="1"/>
    <col min="3590" max="3590" width="1.28515625" style="121" customWidth="1"/>
    <col min="3591" max="3591" width="0.7109375" style="121" customWidth="1"/>
    <col min="3592" max="3596" width="2.140625" style="121" customWidth="1"/>
    <col min="3597" max="3598" width="1.7109375" style="121" customWidth="1"/>
    <col min="3599" max="3608" width="2.140625" style="121" customWidth="1"/>
    <col min="3609" max="3609" width="6.5703125" style="121" customWidth="1"/>
    <col min="3610" max="3610" width="1.28515625" style="121" customWidth="1"/>
    <col min="3611" max="3611" width="3.7109375" style="121" customWidth="1"/>
    <col min="3612" max="3612" width="1.85546875" style="121" customWidth="1"/>
    <col min="3613" max="3616" width="2.140625" style="121" customWidth="1"/>
    <col min="3617" max="3618" width="6.42578125" style="121" customWidth="1"/>
    <col min="3619" max="3619" width="2.140625" style="121" customWidth="1"/>
    <col min="3620" max="3620" width="7.7109375" style="121" customWidth="1"/>
    <col min="3621" max="3621" width="5.5703125" style="121" customWidth="1"/>
    <col min="3622" max="3622" width="2.140625" style="121" customWidth="1"/>
    <col min="3623" max="3623" width="7" style="121" customWidth="1"/>
    <col min="3624" max="3624" width="6.5703125" style="121" customWidth="1"/>
    <col min="3625" max="3625" width="1.140625" style="121" customWidth="1"/>
    <col min="3626" max="3626" width="5.28515625" style="121" customWidth="1"/>
    <col min="3627" max="3627" width="5.42578125" style="121" customWidth="1"/>
    <col min="3628" max="3628" width="2" style="121" customWidth="1"/>
    <col min="3629" max="3631" width="2.140625" style="121" customWidth="1"/>
    <col min="3632" max="3632" width="2.28515625" style="121" customWidth="1"/>
    <col min="3633" max="3633" width="0.85546875" style="121" customWidth="1"/>
    <col min="3634" max="3634" width="2" style="121" customWidth="1"/>
    <col min="3635" max="3635" width="0" style="121" hidden="1" customWidth="1"/>
    <col min="3636" max="3636" width="2.140625" style="121" customWidth="1"/>
    <col min="3637" max="3637" width="1.5703125" style="121" customWidth="1"/>
    <col min="3638" max="3638" width="1.140625" style="121" customWidth="1"/>
    <col min="3639" max="3639" width="1" style="121" customWidth="1"/>
    <col min="3640" max="3640" width="5" style="121" customWidth="1"/>
    <col min="3641" max="3641" width="2.28515625" style="121" customWidth="1"/>
    <col min="3642" max="3642" width="1.42578125" style="121" customWidth="1"/>
    <col min="3643" max="3645" width="2.140625" style="121" customWidth="1"/>
    <col min="3646" max="3646" width="3.28515625" style="121" customWidth="1"/>
    <col min="3647" max="3647" width="2.42578125" style="121" customWidth="1"/>
    <col min="3648" max="3648" width="2.140625" style="121" customWidth="1"/>
    <col min="3649" max="3649" width="2.7109375" style="121" customWidth="1"/>
    <col min="3650" max="3653" width="2.140625" style="121" customWidth="1"/>
    <col min="3654" max="3654" width="1.7109375" style="121" customWidth="1"/>
    <col min="3655" max="3770" width="2.140625" style="121" customWidth="1"/>
    <col min="3771" max="3839" width="11.42578125" style="121"/>
    <col min="3840" max="3840" width="2.28515625" style="121" customWidth="1"/>
    <col min="3841" max="3841" width="23.5703125" style="121" customWidth="1"/>
    <col min="3842" max="3842" width="2.42578125" style="121" customWidth="1"/>
    <col min="3843" max="3843" width="1.7109375" style="121" customWidth="1"/>
    <col min="3844" max="3844" width="2.7109375" style="121" customWidth="1"/>
    <col min="3845" max="3845" width="7" style="121" customWidth="1"/>
    <col min="3846" max="3846" width="1.28515625" style="121" customWidth="1"/>
    <col min="3847" max="3847" width="0.7109375" style="121" customWidth="1"/>
    <col min="3848" max="3852" width="2.140625" style="121" customWidth="1"/>
    <col min="3853" max="3854" width="1.7109375" style="121" customWidth="1"/>
    <col min="3855" max="3864" width="2.140625" style="121" customWidth="1"/>
    <col min="3865" max="3865" width="6.5703125" style="121" customWidth="1"/>
    <col min="3866" max="3866" width="1.28515625" style="121" customWidth="1"/>
    <col min="3867" max="3867" width="3.7109375" style="121" customWidth="1"/>
    <col min="3868" max="3868" width="1.85546875" style="121" customWidth="1"/>
    <col min="3869" max="3872" width="2.140625" style="121" customWidth="1"/>
    <col min="3873" max="3874" width="6.42578125" style="121" customWidth="1"/>
    <col min="3875" max="3875" width="2.140625" style="121" customWidth="1"/>
    <col min="3876" max="3876" width="7.7109375" style="121" customWidth="1"/>
    <col min="3877" max="3877" width="5.5703125" style="121" customWidth="1"/>
    <col min="3878" max="3878" width="2.140625" style="121" customWidth="1"/>
    <col min="3879" max="3879" width="7" style="121" customWidth="1"/>
    <col min="3880" max="3880" width="6.5703125" style="121" customWidth="1"/>
    <col min="3881" max="3881" width="1.140625" style="121" customWidth="1"/>
    <col min="3882" max="3882" width="5.28515625" style="121" customWidth="1"/>
    <col min="3883" max="3883" width="5.42578125" style="121" customWidth="1"/>
    <col min="3884" max="3884" width="2" style="121" customWidth="1"/>
    <col min="3885" max="3887" width="2.140625" style="121" customWidth="1"/>
    <col min="3888" max="3888" width="2.28515625" style="121" customWidth="1"/>
    <col min="3889" max="3889" width="0.85546875" style="121" customWidth="1"/>
    <col min="3890" max="3890" width="2" style="121" customWidth="1"/>
    <col min="3891" max="3891" width="0" style="121" hidden="1" customWidth="1"/>
    <col min="3892" max="3892" width="2.140625" style="121" customWidth="1"/>
    <col min="3893" max="3893" width="1.5703125" style="121" customWidth="1"/>
    <col min="3894" max="3894" width="1.140625" style="121" customWidth="1"/>
    <col min="3895" max="3895" width="1" style="121" customWidth="1"/>
    <col min="3896" max="3896" width="5" style="121" customWidth="1"/>
    <col min="3897" max="3897" width="2.28515625" style="121" customWidth="1"/>
    <col min="3898" max="3898" width="1.42578125" style="121" customWidth="1"/>
    <col min="3899" max="3901" width="2.140625" style="121" customWidth="1"/>
    <col min="3902" max="3902" width="3.28515625" style="121" customWidth="1"/>
    <col min="3903" max="3903" width="2.42578125" style="121" customWidth="1"/>
    <col min="3904" max="3904" width="2.140625" style="121" customWidth="1"/>
    <col min="3905" max="3905" width="2.7109375" style="121" customWidth="1"/>
    <col min="3906" max="3909" width="2.140625" style="121" customWidth="1"/>
    <col min="3910" max="3910" width="1.7109375" style="121" customWidth="1"/>
    <col min="3911" max="4026" width="2.140625" style="121" customWidth="1"/>
    <col min="4027" max="4095" width="11.42578125" style="121"/>
    <col min="4096" max="4096" width="2.28515625" style="121" customWidth="1"/>
    <col min="4097" max="4097" width="23.5703125" style="121" customWidth="1"/>
    <col min="4098" max="4098" width="2.42578125" style="121" customWidth="1"/>
    <col min="4099" max="4099" width="1.7109375" style="121" customWidth="1"/>
    <col min="4100" max="4100" width="2.7109375" style="121" customWidth="1"/>
    <col min="4101" max="4101" width="7" style="121" customWidth="1"/>
    <col min="4102" max="4102" width="1.28515625" style="121" customWidth="1"/>
    <col min="4103" max="4103" width="0.7109375" style="121" customWidth="1"/>
    <col min="4104" max="4108" width="2.140625" style="121" customWidth="1"/>
    <col min="4109" max="4110" width="1.7109375" style="121" customWidth="1"/>
    <col min="4111" max="4120" width="2.140625" style="121" customWidth="1"/>
    <col min="4121" max="4121" width="6.5703125" style="121" customWidth="1"/>
    <col min="4122" max="4122" width="1.28515625" style="121" customWidth="1"/>
    <col min="4123" max="4123" width="3.7109375" style="121" customWidth="1"/>
    <col min="4124" max="4124" width="1.85546875" style="121" customWidth="1"/>
    <col min="4125" max="4128" width="2.140625" style="121" customWidth="1"/>
    <col min="4129" max="4130" width="6.42578125" style="121" customWidth="1"/>
    <col min="4131" max="4131" width="2.140625" style="121" customWidth="1"/>
    <col min="4132" max="4132" width="7.7109375" style="121" customWidth="1"/>
    <col min="4133" max="4133" width="5.5703125" style="121" customWidth="1"/>
    <col min="4134" max="4134" width="2.140625" style="121" customWidth="1"/>
    <col min="4135" max="4135" width="7" style="121" customWidth="1"/>
    <col min="4136" max="4136" width="6.5703125" style="121" customWidth="1"/>
    <col min="4137" max="4137" width="1.140625" style="121" customWidth="1"/>
    <col min="4138" max="4138" width="5.28515625" style="121" customWidth="1"/>
    <col min="4139" max="4139" width="5.42578125" style="121" customWidth="1"/>
    <col min="4140" max="4140" width="2" style="121" customWidth="1"/>
    <col min="4141" max="4143" width="2.140625" style="121" customWidth="1"/>
    <col min="4144" max="4144" width="2.28515625" style="121" customWidth="1"/>
    <col min="4145" max="4145" width="0.85546875" style="121" customWidth="1"/>
    <col min="4146" max="4146" width="2" style="121" customWidth="1"/>
    <col min="4147" max="4147" width="0" style="121" hidden="1" customWidth="1"/>
    <col min="4148" max="4148" width="2.140625" style="121" customWidth="1"/>
    <col min="4149" max="4149" width="1.5703125" style="121" customWidth="1"/>
    <col min="4150" max="4150" width="1.140625" style="121" customWidth="1"/>
    <col min="4151" max="4151" width="1" style="121" customWidth="1"/>
    <col min="4152" max="4152" width="5" style="121" customWidth="1"/>
    <col min="4153" max="4153" width="2.28515625" style="121" customWidth="1"/>
    <col min="4154" max="4154" width="1.42578125" style="121" customWidth="1"/>
    <col min="4155" max="4157" width="2.140625" style="121" customWidth="1"/>
    <col min="4158" max="4158" width="3.28515625" style="121" customWidth="1"/>
    <col min="4159" max="4159" width="2.42578125" style="121" customWidth="1"/>
    <col min="4160" max="4160" width="2.140625" style="121" customWidth="1"/>
    <col min="4161" max="4161" width="2.7109375" style="121" customWidth="1"/>
    <col min="4162" max="4165" width="2.140625" style="121" customWidth="1"/>
    <col min="4166" max="4166" width="1.7109375" style="121" customWidth="1"/>
    <col min="4167" max="4282" width="2.140625" style="121" customWidth="1"/>
    <col min="4283" max="4351" width="11.42578125" style="121"/>
    <col min="4352" max="4352" width="2.28515625" style="121" customWidth="1"/>
    <col min="4353" max="4353" width="23.5703125" style="121" customWidth="1"/>
    <col min="4354" max="4354" width="2.42578125" style="121" customWidth="1"/>
    <col min="4355" max="4355" width="1.7109375" style="121" customWidth="1"/>
    <col min="4356" max="4356" width="2.7109375" style="121" customWidth="1"/>
    <col min="4357" max="4357" width="7" style="121" customWidth="1"/>
    <col min="4358" max="4358" width="1.28515625" style="121" customWidth="1"/>
    <col min="4359" max="4359" width="0.7109375" style="121" customWidth="1"/>
    <col min="4360" max="4364" width="2.140625" style="121" customWidth="1"/>
    <col min="4365" max="4366" width="1.7109375" style="121" customWidth="1"/>
    <col min="4367" max="4376" width="2.140625" style="121" customWidth="1"/>
    <col min="4377" max="4377" width="6.5703125" style="121" customWidth="1"/>
    <col min="4378" max="4378" width="1.28515625" style="121" customWidth="1"/>
    <col min="4379" max="4379" width="3.7109375" style="121" customWidth="1"/>
    <col min="4380" max="4380" width="1.85546875" style="121" customWidth="1"/>
    <col min="4381" max="4384" width="2.140625" style="121" customWidth="1"/>
    <col min="4385" max="4386" width="6.42578125" style="121" customWidth="1"/>
    <col min="4387" max="4387" width="2.140625" style="121" customWidth="1"/>
    <col min="4388" max="4388" width="7.7109375" style="121" customWidth="1"/>
    <col min="4389" max="4389" width="5.5703125" style="121" customWidth="1"/>
    <col min="4390" max="4390" width="2.140625" style="121" customWidth="1"/>
    <col min="4391" max="4391" width="7" style="121" customWidth="1"/>
    <col min="4392" max="4392" width="6.5703125" style="121" customWidth="1"/>
    <col min="4393" max="4393" width="1.140625" style="121" customWidth="1"/>
    <col min="4394" max="4394" width="5.28515625" style="121" customWidth="1"/>
    <col min="4395" max="4395" width="5.42578125" style="121" customWidth="1"/>
    <col min="4396" max="4396" width="2" style="121" customWidth="1"/>
    <col min="4397" max="4399" width="2.140625" style="121" customWidth="1"/>
    <col min="4400" max="4400" width="2.28515625" style="121" customWidth="1"/>
    <col min="4401" max="4401" width="0.85546875" style="121" customWidth="1"/>
    <col min="4402" max="4402" width="2" style="121" customWidth="1"/>
    <col min="4403" max="4403" width="0" style="121" hidden="1" customWidth="1"/>
    <col min="4404" max="4404" width="2.140625" style="121" customWidth="1"/>
    <col min="4405" max="4405" width="1.5703125" style="121" customWidth="1"/>
    <col min="4406" max="4406" width="1.140625" style="121" customWidth="1"/>
    <col min="4407" max="4407" width="1" style="121" customWidth="1"/>
    <col min="4408" max="4408" width="5" style="121" customWidth="1"/>
    <col min="4409" max="4409" width="2.28515625" style="121" customWidth="1"/>
    <col min="4410" max="4410" width="1.42578125" style="121" customWidth="1"/>
    <col min="4411" max="4413" width="2.140625" style="121" customWidth="1"/>
    <col min="4414" max="4414" width="3.28515625" style="121" customWidth="1"/>
    <col min="4415" max="4415" width="2.42578125" style="121" customWidth="1"/>
    <col min="4416" max="4416" width="2.140625" style="121" customWidth="1"/>
    <col min="4417" max="4417" width="2.7109375" style="121" customWidth="1"/>
    <col min="4418" max="4421" width="2.140625" style="121" customWidth="1"/>
    <col min="4422" max="4422" width="1.7109375" style="121" customWidth="1"/>
    <col min="4423" max="4538" width="2.140625" style="121" customWidth="1"/>
    <col min="4539" max="4607" width="11.42578125" style="121"/>
    <col min="4608" max="4608" width="2.28515625" style="121" customWidth="1"/>
    <col min="4609" max="4609" width="23.5703125" style="121" customWidth="1"/>
    <col min="4610" max="4610" width="2.42578125" style="121" customWidth="1"/>
    <col min="4611" max="4611" width="1.7109375" style="121" customWidth="1"/>
    <col min="4612" max="4612" width="2.7109375" style="121" customWidth="1"/>
    <col min="4613" max="4613" width="7" style="121" customWidth="1"/>
    <col min="4614" max="4614" width="1.28515625" style="121" customWidth="1"/>
    <col min="4615" max="4615" width="0.7109375" style="121" customWidth="1"/>
    <col min="4616" max="4620" width="2.140625" style="121" customWidth="1"/>
    <col min="4621" max="4622" width="1.7109375" style="121" customWidth="1"/>
    <col min="4623" max="4632" width="2.140625" style="121" customWidth="1"/>
    <col min="4633" max="4633" width="6.5703125" style="121" customWidth="1"/>
    <col min="4634" max="4634" width="1.28515625" style="121" customWidth="1"/>
    <col min="4635" max="4635" width="3.7109375" style="121" customWidth="1"/>
    <col min="4636" max="4636" width="1.85546875" style="121" customWidth="1"/>
    <col min="4637" max="4640" width="2.140625" style="121" customWidth="1"/>
    <col min="4641" max="4642" width="6.42578125" style="121" customWidth="1"/>
    <col min="4643" max="4643" width="2.140625" style="121" customWidth="1"/>
    <col min="4644" max="4644" width="7.7109375" style="121" customWidth="1"/>
    <col min="4645" max="4645" width="5.5703125" style="121" customWidth="1"/>
    <col min="4646" max="4646" width="2.140625" style="121" customWidth="1"/>
    <col min="4647" max="4647" width="7" style="121" customWidth="1"/>
    <col min="4648" max="4648" width="6.5703125" style="121" customWidth="1"/>
    <col min="4649" max="4649" width="1.140625" style="121" customWidth="1"/>
    <col min="4650" max="4650" width="5.28515625" style="121" customWidth="1"/>
    <col min="4651" max="4651" width="5.42578125" style="121" customWidth="1"/>
    <col min="4652" max="4652" width="2" style="121" customWidth="1"/>
    <col min="4653" max="4655" width="2.140625" style="121" customWidth="1"/>
    <col min="4656" max="4656" width="2.28515625" style="121" customWidth="1"/>
    <col min="4657" max="4657" width="0.85546875" style="121" customWidth="1"/>
    <col min="4658" max="4658" width="2" style="121" customWidth="1"/>
    <col min="4659" max="4659" width="0" style="121" hidden="1" customWidth="1"/>
    <col min="4660" max="4660" width="2.140625" style="121" customWidth="1"/>
    <col min="4661" max="4661" width="1.5703125" style="121" customWidth="1"/>
    <col min="4662" max="4662" width="1.140625" style="121" customWidth="1"/>
    <col min="4663" max="4663" width="1" style="121" customWidth="1"/>
    <col min="4664" max="4664" width="5" style="121" customWidth="1"/>
    <col min="4665" max="4665" width="2.28515625" style="121" customWidth="1"/>
    <col min="4666" max="4666" width="1.42578125" style="121" customWidth="1"/>
    <col min="4667" max="4669" width="2.140625" style="121" customWidth="1"/>
    <col min="4670" max="4670" width="3.28515625" style="121" customWidth="1"/>
    <col min="4671" max="4671" width="2.42578125" style="121" customWidth="1"/>
    <col min="4672" max="4672" width="2.140625" style="121" customWidth="1"/>
    <col min="4673" max="4673" width="2.7109375" style="121" customWidth="1"/>
    <col min="4674" max="4677" width="2.140625" style="121" customWidth="1"/>
    <col min="4678" max="4678" width="1.7109375" style="121" customWidth="1"/>
    <col min="4679" max="4794" width="2.140625" style="121" customWidth="1"/>
    <col min="4795" max="4863" width="11.42578125" style="121"/>
    <col min="4864" max="4864" width="2.28515625" style="121" customWidth="1"/>
    <col min="4865" max="4865" width="23.5703125" style="121" customWidth="1"/>
    <col min="4866" max="4866" width="2.42578125" style="121" customWidth="1"/>
    <col min="4867" max="4867" width="1.7109375" style="121" customWidth="1"/>
    <col min="4868" max="4868" width="2.7109375" style="121" customWidth="1"/>
    <col min="4869" max="4869" width="7" style="121" customWidth="1"/>
    <col min="4870" max="4870" width="1.28515625" style="121" customWidth="1"/>
    <col min="4871" max="4871" width="0.7109375" style="121" customWidth="1"/>
    <col min="4872" max="4876" width="2.140625" style="121" customWidth="1"/>
    <col min="4877" max="4878" width="1.7109375" style="121" customWidth="1"/>
    <col min="4879" max="4888" width="2.140625" style="121" customWidth="1"/>
    <col min="4889" max="4889" width="6.5703125" style="121" customWidth="1"/>
    <col min="4890" max="4890" width="1.28515625" style="121" customWidth="1"/>
    <col min="4891" max="4891" width="3.7109375" style="121" customWidth="1"/>
    <col min="4892" max="4892" width="1.85546875" style="121" customWidth="1"/>
    <col min="4893" max="4896" width="2.140625" style="121" customWidth="1"/>
    <col min="4897" max="4898" width="6.42578125" style="121" customWidth="1"/>
    <col min="4899" max="4899" width="2.140625" style="121" customWidth="1"/>
    <col min="4900" max="4900" width="7.7109375" style="121" customWidth="1"/>
    <col min="4901" max="4901" width="5.5703125" style="121" customWidth="1"/>
    <col min="4902" max="4902" width="2.140625" style="121" customWidth="1"/>
    <col min="4903" max="4903" width="7" style="121" customWidth="1"/>
    <col min="4904" max="4904" width="6.5703125" style="121" customWidth="1"/>
    <col min="4905" max="4905" width="1.140625" style="121" customWidth="1"/>
    <col min="4906" max="4906" width="5.28515625" style="121" customWidth="1"/>
    <col min="4907" max="4907" width="5.42578125" style="121" customWidth="1"/>
    <col min="4908" max="4908" width="2" style="121" customWidth="1"/>
    <col min="4909" max="4911" width="2.140625" style="121" customWidth="1"/>
    <col min="4912" max="4912" width="2.28515625" style="121" customWidth="1"/>
    <col min="4913" max="4913" width="0.85546875" style="121" customWidth="1"/>
    <col min="4914" max="4914" width="2" style="121" customWidth="1"/>
    <col min="4915" max="4915" width="0" style="121" hidden="1" customWidth="1"/>
    <col min="4916" max="4916" width="2.140625" style="121" customWidth="1"/>
    <col min="4917" max="4917" width="1.5703125" style="121" customWidth="1"/>
    <col min="4918" max="4918" width="1.140625" style="121" customWidth="1"/>
    <col min="4919" max="4919" width="1" style="121" customWidth="1"/>
    <col min="4920" max="4920" width="5" style="121" customWidth="1"/>
    <col min="4921" max="4921" width="2.28515625" style="121" customWidth="1"/>
    <col min="4922" max="4922" width="1.42578125" style="121" customWidth="1"/>
    <col min="4923" max="4925" width="2.140625" style="121" customWidth="1"/>
    <col min="4926" max="4926" width="3.28515625" style="121" customWidth="1"/>
    <col min="4927" max="4927" width="2.42578125" style="121" customWidth="1"/>
    <col min="4928" max="4928" width="2.140625" style="121" customWidth="1"/>
    <col min="4929" max="4929" width="2.7109375" style="121" customWidth="1"/>
    <col min="4930" max="4933" width="2.140625" style="121" customWidth="1"/>
    <col min="4934" max="4934" width="1.7109375" style="121" customWidth="1"/>
    <col min="4935" max="5050" width="2.140625" style="121" customWidth="1"/>
    <col min="5051" max="5119" width="11.42578125" style="121"/>
    <col min="5120" max="5120" width="2.28515625" style="121" customWidth="1"/>
    <col min="5121" max="5121" width="23.5703125" style="121" customWidth="1"/>
    <col min="5122" max="5122" width="2.42578125" style="121" customWidth="1"/>
    <col min="5123" max="5123" width="1.7109375" style="121" customWidth="1"/>
    <col min="5124" max="5124" width="2.7109375" style="121" customWidth="1"/>
    <col min="5125" max="5125" width="7" style="121" customWidth="1"/>
    <col min="5126" max="5126" width="1.28515625" style="121" customWidth="1"/>
    <col min="5127" max="5127" width="0.7109375" style="121" customWidth="1"/>
    <col min="5128" max="5132" width="2.140625" style="121" customWidth="1"/>
    <col min="5133" max="5134" width="1.7109375" style="121" customWidth="1"/>
    <col min="5135" max="5144" width="2.140625" style="121" customWidth="1"/>
    <col min="5145" max="5145" width="6.5703125" style="121" customWidth="1"/>
    <col min="5146" max="5146" width="1.28515625" style="121" customWidth="1"/>
    <col min="5147" max="5147" width="3.7109375" style="121" customWidth="1"/>
    <col min="5148" max="5148" width="1.85546875" style="121" customWidth="1"/>
    <col min="5149" max="5152" width="2.140625" style="121" customWidth="1"/>
    <col min="5153" max="5154" width="6.42578125" style="121" customWidth="1"/>
    <col min="5155" max="5155" width="2.140625" style="121" customWidth="1"/>
    <col min="5156" max="5156" width="7.7109375" style="121" customWidth="1"/>
    <col min="5157" max="5157" width="5.5703125" style="121" customWidth="1"/>
    <col min="5158" max="5158" width="2.140625" style="121" customWidth="1"/>
    <col min="5159" max="5159" width="7" style="121" customWidth="1"/>
    <col min="5160" max="5160" width="6.5703125" style="121" customWidth="1"/>
    <col min="5161" max="5161" width="1.140625" style="121" customWidth="1"/>
    <col min="5162" max="5162" width="5.28515625" style="121" customWidth="1"/>
    <col min="5163" max="5163" width="5.42578125" style="121" customWidth="1"/>
    <col min="5164" max="5164" width="2" style="121" customWidth="1"/>
    <col min="5165" max="5167" width="2.140625" style="121" customWidth="1"/>
    <col min="5168" max="5168" width="2.28515625" style="121" customWidth="1"/>
    <col min="5169" max="5169" width="0.85546875" style="121" customWidth="1"/>
    <col min="5170" max="5170" width="2" style="121" customWidth="1"/>
    <col min="5171" max="5171" width="0" style="121" hidden="1" customWidth="1"/>
    <col min="5172" max="5172" width="2.140625" style="121" customWidth="1"/>
    <col min="5173" max="5173" width="1.5703125" style="121" customWidth="1"/>
    <col min="5174" max="5174" width="1.140625" style="121" customWidth="1"/>
    <col min="5175" max="5175" width="1" style="121" customWidth="1"/>
    <col min="5176" max="5176" width="5" style="121" customWidth="1"/>
    <col min="5177" max="5177" width="2.28515625" style="121" customWidth="1"/>
    <col min="5178" max="5178" width="1.42578125" style="121" customWidth="1"/>
    <col min="5179" max="5181" width="2.140625" style="121" customWidth="1"/>
    <col min="5182" max="5182" width="3.28515625" style="121" customWidth="1"/>
    <col min="5183" max="5183" width="2.42578125" style="121" customWidth="1"/>
    <col min="5184" max="5184" width="2.140625" style="121" customWidth="1"/>
    <col min="5185" max="5185" width="2.7109375" style="121" customWidth="1"/>
    <col min="5186" max="5189" width="2.140625" style="121" customWidth="1"/>
    <col min="5190" max="5190" width="1.7109375" style="121" customWidth="1"/>
    <col min="5191" max="5306" width="2.140625" style="121" customWidth="1"/>
    <col min="5307" max="5375" width="11.42578125" style="121"/>
    <col min="5376" max="5376" width="2.28515625" style="121" customWidth="1"/>
    <col min="5377" max="5377" width="23.5703125" style="121" customWidth="1"/>
    <col min="5378" max="5378" width="2.42578125" style="121" customWidth="1"/>
    <col min="5379" max="5379" width="1.7109375" style="121" customWidth="1"/>
    <col min="5380" max="5380" width="2.7109375" style="121" customWidth="1"/>
    <col min="5381" max="5381" width="7" style="121" customWidth="1"/>
    <col min="5382" max="5382" width="1.28515625" style="121" customWidth="1"/>
    <col min="5383" max="5383" width="0.7109375" style="121" customWidth="1"/>
    <col min="5384" max="5388" width="2.140625" style="121" customWidth="1"/>
    <col min="5389" max="5390" width="1.7109375" style="121" customWidth="1"/>
    <col min="5391" max="5400" width="2.140625" style="121" customWidth="1"/>
    <col min="5401" max="5401" width="6.5703125" style="121" customWidth="1"/>
    <col min="5402" max="5402" width="1.28515625" style="121" customWidth="1"/>
    <col min="5403" max="5403" width="3.7109375" style="121" customWidth="1"/>
    <col min="5404" max="5404" width="1.85546875" style="121" customWidth="1"/>
    <col min="5405" max="5408" width="2.140625" style="121" customWidth="1"/>
    <col min="5409" max="5410" width="6.42578125" style="121" customWidth="1"/>
    <col min="5411" max="5411" width="2.140625" style="121" customWidth="1"/>
    <col min="5412" max="5412" width="7.7109375" style="121" customWidth="1"/>
    <col min="5413" max="5413" width="5.5703125" style="121" customWidth="1"/>
    <col min="5414" max="5414" width="2.140625" style="121" customWidth="1"/>
    <col min="5415" max="5415" width="7" style="121" customWidth="1"/>
    <col min="5416" max="5416" width="6.5703125" style="121" customWidth="1"/>
    <col min="5417" max="5417" width="1.140625" style="121" customWidth="1"/>
    <col min="5418" max="5418" width="5.28515625" style="121" customWidth="1"/>
    <col min="5419" max="5419" width="5.42578125" style="121" customWidth="1"/>
    <col min="5420" max="5420" width="2" style="121" customWidth="1"/>
    <col min="5421" max="5423" width="2.140625" style="121" customWidth="1"/>
    <col min="5424" max="5424" width="2.28515625" style="121" customWidth="1"/>
    <col min="5425" max="5425" width="0.85546875" style="121" customWidth="1"/>
    <col min="5426" max="5426" width="2" style="121" customWidth="1"/>
    <col min="5427" max="5427" width="0" style="121" hidden="1" customWidth="1"/>
    <col min="5428" max="5428" width="2.140625" style="121" customWidth="1"/>
    <col min="5429" max="5429" width="1.5703125" style="121" customWidth="1"/>
    <col min="5430" max="5430" width="1.140625" style="121" customWidth="1"/>
    <col min="5431" max="5431" width="1" style="121" customWidth="1"/>
    <col min="5432" max="5432" width="5" style="121" customWidth="1"/>
    <col min="5433" max="5433" width="2.28515625" style="121" customWidth="1"/>
    <col min="5434" max="5434" width="1.42578125" style="121" customWidth="1"/>
    <col min="5435" max="5437" width="2.140625" style="121" customWidth="1"/>
    <col min="5438" max="5438" width="3.28515625" style="121" customWidth="1"/>
    <col min="5439" max="5439" width="2.42578125" style="121" customWidth="1"/>
    <col min="5440" max="5440" width="2.140625" style="121" customWidth="1"/>
    <col min="5441" max="5441" width="2.7109375" style="121" customWidth="1"/>
    <col min="5442" max="5445" width="2.140625" style="121" customWidth="1"/>
    <col min="5446" max="5446" width="1.7109375" style="121" customWidth="1"/>
    <col min="5447" max="5562" width="2.140625" style="121" customWidth="1"/>
    <col min="5563" max="5631" width="11.42578125" style="121"/>
    <col min="5632" max="5632" width="2.28515625" style="121" customWidth="1"/>
    <col min="5633" max="5633" width="23.5703125" style="121" customWidth="1"/>
    <col min="5634" max="5634" width="2.42578125" style="121" customWidth="1"/>
    <col min="5635" max="5635" width="1.7109375" style="121" customWidth="1"/>
    <col min="5636" max="5636" width="2.7109375" style="121" customWidth="1"/>
    <col min="5637" max="5637" width="7" style="121" customWidth="1"/>
    <col min="5638" max="5638" width="1.28515625" style="121" customWidth="1"/>
    <col min="5639" max="5639" width="0.7109375" style="121" customWidth="1"/>
    <col min="5640" max="5644" width="2.140625" style="121" customWidth="1"/>
    <col min="5645" max="5646" width="1.7109375" style="121" customWidth="1"/>
    <col min="5647" max="5656" width="2.140625" style="121" customWidth="1"/>
    <col min="5657" max="5657" width="6.5703125" style="121" customWidth="1"/>
    <col min="5658" max="5658" width="1.28515625" style="121" customWidth="1"/>
    <col min="5659" max="5659" width="3.7109375" style="121" customWidth="1"/>
    <col min="5660" max="5660" width="1.85546875" style="121" customWidth="1"/>
    <col min="5661" max="5664" width="2.140625" style="121" customWidth="1"/>
    <col min="5665" max="5666" width="6.42578125" style="121" customWidth="1"/>
    <col min="5667" max="5667" width="2.140625" style="121" customWidth="1"/>
    <col min="5668" max="5668" width="7.7109375" style="121" customWidth="1"/>
    <col min="5669" max="5669" width="5.5703125" style="121" customWidth="1"/>
    <col min="5670" max="5670" width="2.140625" style="121" customWidth="1"/>
    <col min="5671" max="5671" width="7" style="121" customWidth="1"/>
    <col min="5672" max="5672" width="6.5703125" style="121" customWidth="1"/>
    <col min="5673" max="5673" width="1.140625" style="121" customWidth="1"/>
    <col min="5674" max="5674" width="5.28515625" style="121" customWidth="1"/>
    <col min="5675" max="5675" width="5.42578125" style="121" customWidth="1"/>
    <col min="5676" max="5676" width="2" style="121" customWidth="1"/>
    <col min="5677" max="5679" width="2.140625" style="121" customWidth="1"/>
    <col min="5680" max="5680" width="2.28515625" style="121" customWidth="1"/>
    <col min="5681" max="5681" width="0.85546875" style="121" customWidth="1"/>
    <col min="5682" max="5682" width="2" style="121" customWidth="1"/>
    <col min="5683" max="5683" width="0" style="121" hidden="1" customWidth="1"/>
    <col min="5684" max="5684" width="2.140625" style="121" customWidth="1"/>
    <col min="5685" max="5685" width="1.5703125" style="121" customWidth="1"/>
    <col min="5686" max="5686" width="1.140625" style="121" customWidth="1"/>
    <col min="5687" max="5687" width="1" style="121" customWidth="1"/>
    <col min="5688" max="5688" width="5" style="121" customWidth="1"/>
    <col min="5689" max="5689" width="2.28515625" style="121" customWidth="1"/>
    <col min="5690" max="5690" width="1.42578125" style="121" customWidth="1"/>
    <col min="5691" max="5693" width="2.140625" style="121" customWidth="1"/>
    <col min="5694" max="5694" width="3.28515625" style="121" customWidth="1"/>
    <col min="5695" max="5695" width="2.42578125" style="121" customWidth="1"/>
    <col min="5696" max="5696" width="2.140625" style="121" customWidth="1"/>
    <col min="5697" max="5697" width="2.7109375" style="121" customWidth="1"/>
    <col min="5698" max="5701" width="2.140625" style="121" customWidth="1"/>
    <col min="5702" max="5702" width="1.7109375" style="121" customWidth="1"/>
    <col min="5703" max="5818" width="2.140625" style="121" customWidth="1"/>
    <col min="5819" max="5887" width="11.42578125" style="121"/>
    <col min="5888" max="5888" width="2.28515625" style="121" customWidth="1"/>
    <col min="5889" max="5889" width="23.5703125" style="121" customWidth="1"/>
    <col min="5890" max="5890" width="2.42578125" style="121" customWidth="1"/>
    <col min="5891" max="5891" width="1.7109375" style="121" customWidth="1"/>
    <col min="5892" max="5892" width="2.7109375" style="121" customWidth="1"/>
    <col min="5893" max="5893" width="7" style="121" customWidth="1"/>
    <col min="5894" max="5894" width="1.28515625" style="121" customWidth="1"/>
    <col min="5895" max="5895" width="0.7109375" style="121" customWidth="1"/>
    <col min="5896" max="5900" width="2.140625" style="121" customWidth="1"/>
    <col min="5901" max="5902" width="1.7109375" style="121" customWidth="1"/>
    <col min="5903" max="5912" width="2.140625" style="121" customWidth="1"/>
    <col min="5913" max="5913" width="6.5703125" style="121" customWidth="1"/>
    <col min="5914" max="5914" width="1.28515625" style="121" customWidth="1"/>
    <col min="5915" max="5915" width="3.7109375" style="121" customWidth="1"/>
    <col min="5916" max="5916" width="1.85546875" style="121" customWidth="1"/>
    <col min="5917" max="5920" width="2.140625" style="121" customWidth="1"/>
    <col min="5921" max="5922" width="6.42578125" style="121" customWidth="1"/>
    <col min="5923" max="5923" width="2.140625" style="121" customWidth="1"/>
    <col min="5924" max="5924" width="7.7109375" style="121" customWidth="1"/>
    <col min="5925" max="5925" width="5.5703125" style="121" customWidth="1"/>
    <col min="5926" max="5926" width="2.140625" style="121" customWidth="1"/>
    <col min="5927" max="5927" width="7" style="121" customWidth="1"/>
    <col min="5928" max="5928" width="6.5703125" style="121" customWidth="1"/>
    <col min="5929" max="5929" width="1.140625" style="121" customWidth="1"/>
    <col min="5930" max="5930" width="5.28515625" style="121" customWidth="1"/>
    <col min="5931" max="5931" width="5.42578125" style="121" customWidth="1"/>
    <col min="5932" max="5932" width="2" style="121" customWidth="1"/>
    <col min="5933" max="5935" width="2.140625" style="121" customWidth="1"/>
    <col min="5936" max="5936" width="2.28515625" style="121" customWidth="1"/>
    <col min="5937" max="5937" width="0.85546875" style="121" customWidth="1"/>
    <col min="5938" max="5938" width="2" style="121" customWidth="1"/>
    <col min="5939" max="5939" width="0" style="121" hidden="1" customWidth="1"/>
    <col min="5940" max="5940" width="2.140625" style="121" customWidth="1"/>
    <col min="5941" max="5941" width="1.5703125" style="121" customWidth="1"/>
    <col min="5942" max="5942" width="1.140625" style="121" customWidth="1"/>
    <col min="5943" max="5943" width="1" style="121" customWidth="1"/>
    <col min="5944" max="5944" width="5" style="121" customWidth="1"/>
    <col min="5945" max="5945" width="2.28515625" style="121" customWidth="1"/>
    <col min="5946" max="5946" width="1.42578125" style="121" customWidth="1"/>
    <col min="5947" max="5949" width="2.140625" style="121" customWidth="1"/>
    <col min="5950" max="5950" width="3.28515625" style="121" customWidth="1"/>
    <col min="5951" max="5951" width="2.42578125" style="121" customWidth="1"/>
    <col min="5952" max="5952" width="2.140625" style="121" customWidth="1"/>
    <col min="5953" max="5953" width="2.7109375" style="121" customWidth="1"/>
    <col min="5954" max="5957" width="2.140625" style="121" customWidth="1"/>
    <col min="5958" max="5958" width="1.7109375" style="121" customWidth="1"/>
    <col min="5959" max="6074" width="2.140625" style="121" customWidth="1"/>
    <col min="6075" max="6143" width="11.42578125" style="121"/>
    <col min="6144" max="6144" width="2.28515625" style="121" customWidth="1"/>
    <col min="6145" max="6145" width="23.5703125" style="121" customWidth="1"/>
    <col min="6146" max="6146" width="2.42578125" style="121" customWidth="1"/>
    <col min="6147" max="6147" width="1.7109375" style="121" customWidth="1"/>
    <col min="6148" max="6148" width="2.7109375" style="121" customWidth="1"/>
    <col min="6149" max="6149" width="7" style="121" customWidth="1"/>
    <col min="6150" max="6150" width="1.28515625" style="121" customWidth="1"/>
    <col min="6151" max="6151" width="0.7109375" style="121" customWidth="1"/>
    <col min="6152" max="6156" width="2.140625" style="121" customWidth="1"/>
    <col min="6157" max="6158" width="1.7109375" style="121" customWidth="1"/>
    <col min="6159" max="6168" width="2.140625" style="121" customWidth="1"/>
    <col min="6169" max="6169" width="6.5703125" style="121" customWidth="1"/>
    <col min="6170" max="6170" width="1.28515625" style="121" customWidth="1"/>
    <col min="6171" max="6171" width="3.7109375" style="121" customWidth="1"/>
    <col min="6172" max="6172" width="1.85546875" style="121" customWidth="1"/>
    <col min="6173" max="6176" width="2.140625" style="121" customWidth="1"/>
    <col min="6177" max="6178" width="6.42578125" style="121" customWidth="1"/>
    <col min="6179" max="6179" width="2.140625" style="121" customWidth="1"/>
    <col min="6180" max="6180" width="7.7109375" style="121" customWidth="1"/>
    <col min="6181" max="6181" width="5.5703125" style="121" customWidth="1"/>
    <col min="6182" max="6182" width="2.140625" style="121" customWidth="1"/>
    <col min="6183" max="6183" width="7" style="121" customWidth="1"/>
    <col min="6184" max="6184" width="6.5703125" style="121" customWidth="1"/>
    <col min="6185" max="6185" width="1.140625" style="121" customWidth="1"/>
    <col min="6186" max="6186" width="5.28515625" style="121" customWidth="1"/>
    <col min="6187" max="6187" width="5.42578125" style="121" customWidth="1"/>
    <col min="6188" max="6188" width="2" style="121" customWidth="1"/>
    <col min="6189" max="6191" width="2.140625" style="121" customWidth="1"/>
    <col min="6192" max="6192" width="2.28515625" style="121" customWidth="1"/>
    <col min="6193" max="6193" width="0.85546875" style="121" customWidth="1"/>
    <col min="6194" max="6194" width="2" style="121" customWidth="1"/>
    <col min="6195" max="6195" width="0" style="121" hidden="1" customWidth="1"/>
    <col min="6196" max="6196" width="2.140625" style="121" customWidth="1"/>
    <col min="6197" max="6197" width="1.5703125" style="121" customWidth="1"/>
    <col min="6198" max="6198" width="1.140625" style="121" customWidth="1"/>
    <col min="6199" max="6199" width="1" style="121" customWidth="1"/>
    <col min="6200" max="6200" width="5" style="121" customWidth="1"/>
    <col min="6201" max="6201" width="2.28515625" style="121" customWidth="1"/>
    <col min="6202" max="6202" width="1.42578125" style="121" customWidth="1"/>
    <col min="6203" max="6205" width="2.140625" style="121" customWidth="1"/>
    <col min="6206" max="6206" width="3.28515625" style="121" customWidth="1"/>
    <col min="6207" max="6207" width="2.42578125" style="121" customWidth="1"/>
    <col min="6208" max="6208" width="2.140625" style="121" customWidth="1"/>
    <col min="6209" max="6209" width="2.7109375" style="121" customWidth="1"/>
    <col min="6210" max="6213" width="2.140625" style="121" customWidth="1"/>
    <col min="6214" max="6214" width="1.7109375" style="121" customWidth="1"/>
    <col min="6215" max="6330" width="2.140625" style="121" customWidth="1"/>
    <col min="6331" max="6399" width="11.42578125" style="121"/>
    <col min="6400" max="6400" width="2.28515625" style="121" customWidth="1"/>
    <col min="6401" max="6401" width="23.5703125" style="121" customWidth="1"/>
    <col min="6402" max="6402" width="2.42578125" style="121" customWidth="1"/>
    <col min="6403" max="6403" width="1.7109375" style="121" customWidth="1"/>
    <col min="6404" max="6404" width="2.7109375" style="121" customWidth="1"/>
    <col min="6405" max="6405" width="7" style="121" customWidth="1"/>
    <col min="6406" max="6406" width="1.28515625" style="121" customWidth="1"/>
    <col min="6407" max="6407" width="0.7109375" style="121" customWidth="1"/>
    <col min="6408" max="6412" width="2.140625" style="121" customWidth="1"/>
    <col min="6413" max="6414" width="1.7109375" style="121" customWidth="1"/>
    <col min="6415" max="6424" width="2.140625" style="121" customWidth="1"/>
    <col min="6425" max="6425" width="6.5703125" style="121" customWidth="1"/>
    <col min="6426" max="6426" width="1.28515625" style="121" customWidth="1"/>
    <col min="6427" max="6427" width="3.7109375" style="121" customWidth="1"/>
    <col min="6428" max="6428" width="1.85546875" style="121" customWidth="1"/>
    <col min="6429" max="6432" width="2.140625" style="121" customWidth="1"/>
    <col min="6433" max="6434" width="6.42578125" style="121" customWidth="1"/>
    <col min="6435" max="6435" width="2.140625" style="121" customWidth="1"/>
    <col min="6436" max="6436" width="7.7109375" style="121" customWidth="1"/>
    <col min="6437" max="6437" width="5.5703125" style="121" customWidth="1"/>
    <col min="6438" max="6438" width="2.140625" style="121" customWidth="1"/>
    <col min="6439" max="6439" width="7" style="121" customWidth="1"/>
    <col min="6440" max="6440" width="6.5703125" style="121" customWidth="1"/>
    <col min="6441" max="6441" width="1.140625" style="121" customWidth="1"/>
    <col min="6442" max="6442" width="5.28515625" style="121" customWidth="1"/>
    <col min="6443" max="6443" width="5.42578125" style="121" customWidth="1"/>
    <col min="6444" max="6444" width="2" style="121" customWidth="1"/>
    <col min="6445" max="6447" width="2.140625" style="121" customWidth="1"/>
    <col min="6448" max="6448" width="2.28515625" style="121" customWidth="1"/>
    <col min="6449" max="6449" width="0.85546875" style="121" customWidth="1"/>
    <col min="6450" max="6450" width="2" style="121" customWidth="1"/>
    <col min="6451" max="6451" width="0" style="121" hidden="1" customWidth="1"/>
    <col min="6452" max="6452" width="2.140625" style="121" customWidth="1"/>
    <col min="6453" max="6453" width="1.5703125" style="121" customWidth="1"/>
    <col min="6454" max="6454" width="1.140625" style="121" customWidth="1"/>
    <col min="6455" max="6455" width="1" style="121" customWidth="1"/>
    <col min="6456" max="6456" width="5" style="121" customWidth="1"/>
    <col min="6457" max="6457" width="2.28515625" style="121" customWidth="1"/>
    <col min="6458" max="6458" width="1.42578125" style="121" customWidth="1"/>
    <col min="6459" max="6461" width="2.140625" style="121" customWidth="1"/>
    <col min="6462" max="6462" width="3.28515625" style="121" customWidth="1"/>
    <col min="6463" max="6463" width="2.42578125" style="121" customWidth="1"/>
    <col min="6464" max="6464" width="2.140625" style="121" customWidth="1"/>
    <col min="6465" max="6465" width="2.7109375" style="121" customWidth="1"/>
    <col min="6466" max="6469" width="2.140625" style="121" customWidth="1"/>
    <col min="6470" max="6470" width="1.7109375" style="121" customWidth="1"/>
    <col min="6471" max="6586" width="2.140625" style="121" customWidth="1"/>
    <col min="6587" max="6655" width="11.42578125" style="121"/>
    <col min="6656" max="6656" width="2.28515625" style="121" customWidth="1"/>
    <col min="6657" max="6657" width="23.5703125" style="121" customWidth="1"/>
    <col min="6658" max="6658" width="2.42578125" style="121" customWidth="1"/>
    <col min="6659" max="6659" width="1.7109375" style="121" customWidth="1"/>
    <col min="6660" max="6660" width="2.7109375" style="121" customWidth="1"/>
    <col min="6661" max="6661" width="7" style="121" customWidth="1"/>
    <col min="6662" max="6662" width="1.28515625" style="121" customWidth="1"/>
    <col min="6663" max="6663" width="0.7109375" style="121" customWidth="1"/>
    <col min="6664" max="6668" width="2.140625" style="121" customWidth="1"/>
    <col min="6669" max="6670" width="1.7109375" style="121" customWidth="1"/>
    <col min="6671" max="6680" width="2.140625" style="121" customWidth="1"/>
    <col min="6681" max="6681" width="6.5703125" style="121" customWidth="1"/>
    <col min="6682" max="6682" width="1.28515625" style="121" customWidth="1"/>
    <col min="6683" max="6683" width="3.7109375" style="121" customWidth="1"/>
    <col min="6684" max="6684" width="1.85546875" style="121" customWidth="1"/>
    <col min="6685" max="6688" width="2.140625" style="121" customWidth="1"/>
    <col min="6689" max="6690" width="6.42578125" style="121" customWidth="1"/>
    <col min="6691" max="6691" width="2.140625" style="121" customWidth="1"/>
    <col min="6692" max="6692" width="7.7109375" style="121" customWidth="1"/>
    <col min="6693" max="6693" width="5.5703125" style="121" customWidth="1"/>
    <col min="6694" max="6694" width="2.140625" style="121" customWidth="1"/>
    <col min="6695" max="6695" width="7" style="121" customWidth="1"/>
    <col min="6696" max="6696" width="6.5703125" style="121" customWidth="1"/>
    <col min="6697" max="6697" width="1.140625" style="121" customWidth="1"/>
    <col min="6698" max="6698" width="5.28515625" style="121" customWidth="1"/>
    <col min="6699" max="6699" width="5.42578125" style="121" customWidth="1"/>
    <col min="6700" max="6700" width="2" style="121" customWidth="1"/>
    <col min="6701" max="6703" width="2.140625" style="121" customWidth="1"/>
    <col min="6704" max="6704" width="2.28515625" style="121" customWidth="1"/>
    <col min="6705" max="6705" width="0.85546875" style="121" customWidth="1"/>
    <col min="6706" max="6706" width="2" style="121" customWidth="1"/>
    <col min="6707" max="6707" width="0" style="121" hidden="1" customWidth="1"/>
    <col min="6708" max="6708" width="2.140625" style="121" customWidth="1"/>
    <col min="6709" max="6709" width="1.5703125" style="121" customWidth="1"/>
    <col min="6710" max="6710" width="1.140625" style="121" customWidth="1"/>
    <col min="6711" max="6711" width="1" style="121" customWidth="1"/>
    <col min="6712" max="6712" width="5" style="121" customWidth="1"/>
    <col min="6713" max="6713" width="2.28515625" style="121" customWidth="1"/>
    <col min="6714" max="6714" width="1.42578125" style="121" customWidth="1"/>
    <col min="6715" max="6717" width="2.140625" style="121" customWidth="1"/>
    <col min="6718" max="6718" width="3.28515625" style="121" customWidth="1"/>
    <col min="6719" max="6719" width="2.42578125" style="121" customWidth="1"/>
    <col min="6720" max="6720" width="2.140625" style="121" customWidth="1"/>
    <col min="6721" max="6721" width="2.7109375" style="121" customWidth="1"/>
    <col min="6722" max="6725" width="2.140625" style="121" customWidth="1"/>
    <col min="6726" max="6726" width="1.7109375" style="121" customWidth="1"/>
    <col min="6727" max="6842" width="2.140625" style="121" customWidth="1"/>
    <col min="6843" max="6911" width="11.42578125" style="121"/>
    <col min="6912" max="6912" width="2.28515625" style="121" customWidth="1"/>
    <col min="6913" max="6913" width="23.5703125" style="121" customWidth="1"/>
    <col min="6914" max="6914" width="2.42578125" style="121" customWidth="1"/>
    <col min="6915" max="6915" width="1.7109375" style="121" customWidth="1"/>
    <col min="6916" max="6916" width="2.7109375" style="121" customWidth="1"/>
    <col min="6917" max="6917" width="7" style="121" customWidth="1"/>
    <col min="6918" max="6918" width="1.28515625" style="121" customWidth="1"/>
    <col min="6919" max="6919" width="0.7109375" style="121" customWidth="1"/>
    <col min="6920" max="6924" width="2.140625" style="121" customWidth="1"/>
    <col min="6925" max="6926" width="1.7109375" style="121" customWidth="1"/>
    <col min="6927" max="6936" width="2.140625" style="121" customWidth="1"/>
    <col min="6937" max="6937" width="6.5703125" style="121" customWidth="1"/>
    <col min="6938" max="6938" width="1.28515625" style="121" customWidth="1"/>
    <col min="6939" max="6939" width="3.7109375" style="121" customWidth="1"/>
    <col min="6940" max="6940" width="1.85546875" style="121" customWidth="1"/>
    <col min="6941" max="6944" width="2.140625" style="121" customWidth="1"/>
    <col min="6945" max="6946" width="6.42578125" style="121" customWidth="1"/>
    <col min="6947" max="6947" width="2.140625" style="121" customWidth="1"/>
    <col min="6948" max="6948" width="7.7109375" style="121" customWidth="1"/>
    <col min="6949" max="6949" width="5.5703125" style="121" customWidth="1"/>
    <col min="6950" max="6950" width="2.140625" style="121" customWidth="1"/>
    <col min="6951" max="6951" width="7" style="121" customWidth="1"/>
    <col min="6952" max="6952" width="6.5703125" style="121" customWidth="1"/>
    <col min="6953" max="6953" width="1.140625" style="121" customWidth="1"/>
    <col min="6954" max="6954" width="5.28515625" style="121" customWidth="1"/>
    <col min="6955" max="6955" width="5.42578125" style="121" customWidth="1"/>
    <col min="6956" max="6956" width="2" style="121" customWidth="1"/>
    <col min="6957" max="6959" width="2.140625" style="121" customWidth="1"/>
    <col min="6960" max="6960" width="2.28515625" style="121" customWidth="1"/>
    <col min="6961" max="6961" width="0.85546875" style="121" customWidth="1"/>
    <col min="6962" max="6962" width="2" style="121" customWidth="1"/>
    <col min="6963" max="6963" width="0" style="121" hidden="1" customWidth="1"/>
    <col min="6964" max="6964" width="2.140625" style="121" customWidth="1"/>
    <col min="6965" max="6965" width="1.5703125" style="121" customWidth="1"/>
    <col min="6966" max="6966" width="1.140625" style="121" customWidth="1"/>
    <col min="6967" max="6967" width="1" style="121" customWidth="1"/>
    <col min="6968" max="6968" width="5" style="121" customWidth="1"/>
    <col min="6969" max="6969" width="2.28515625" style="121" customWidth="1"/>
    <col min="6970" max="6970" width="1.42578125" style="121" customWidth="1"/>
    <col min="6971" max="6973" width="2.140625" style="121" customWidth="1"/>
    <col min="6974" max="6974" width="3.28515625" style="121" customWidth="1"/>
    <col min="6975" max="6975" width="2.42578125" style="121" customWidth="1"/>
    <col min="6976" max="6976" width="2.140625" style="121" customWidth="1"/>
    <col min="6977" max="6977" width="2.7109375" style="121" customWidth="1"/>
    <col min="6978" max="6981" width="2.140625" style="121" customWidth="1"/>
    <col min="6982" max="6982" width="1.7109375" style="121" customWidth="1"/>
    <col min="6983" max="7098" width="2.140625" style="121" customWidth="1"/>
    <col min="7099" max="7167" width="11.42578125" style="121"/>
    <col min="7168" max="7168" width="2.28515625" style="121" customWidth="1"/>
    <col min="7169" max="7169" width="23.5703125" style="121" customWidth="1"/>
    <col min="7170" max="7170" width="2.42578125" style="121" customWidth="1"/>
    <col min="7171" max="7171" width="1.7109375" style="121" customWidth="1"/>
    <col min="7172" max="7172" width="2.7109375" style="121" customWidth="1"/>
    <col min="7173" max="7173" width="7" style="121" customWidth="1"/>
    <col min="7174" max="7174" width="1.28515625" style="121" customWidth="1"/>
    <col min="7175" max="7175" width="0.7109375" style="121" customWidth="1"/>
    <col min="7176" max="7180" width="2.140625" style="121" customWidth="1"/>
    <col min="7181" max="7182" width="1.7109375" style="121" customWidth="1"/>
    <col min="7183" max="7192" width="2.140625" style="121" customWidth="1"/>
    <col min="7193" max="7193" width="6.5703125" style="121" customWidth="1"/>
    <col min="7194" max="7194" width="1.28515625" style="121" customWidth="1"/>
    <col min="7195" max="7195" width="3.7109375" style="121" customWidth="1"/>
    <col min="7196" max="7196" width="1.85546875" style="121" customWidth="1"/>
    <col min="7197" max="7200" width="2.140625" style="121" customWidth="1"/>
    <col min="7201" max="7202" width="6.42578125" style="121" customWidth="1"/>
    <col min="7203" max="7203" width="2.140625" style="121" customWidth="1"/>
    <col min="7204" max="7204" width="7.7109375" style="121" customWidth="1"/>
    <col min="7205" max="7205" width="5.5703125" style="121" customWidth="1"/>
    <col min="7206" max="7206" width="2.140625" style="121" customWidth="1"/>
    <col min="7207" max="7207" width="7" style="121" customWidth="1"/>
    <col min="7208" max="7208" width="6.5703125" style="121" customWidth="1"/>
    <col min="7209" max="7209" width="1.140625" style="121" customWidth="1"/>
    <col min="7210" max="7210" width="5.28515625" style="121" customWidth="1"/>
    <col min="7211" max="7211" width="5.42578125" style="121" customWidth="1"/>
    <col min="7212" max="7212" width="2" style="121" customWidth="1"/>
    <col min="7213" max="7215" width="2.140625" style="121" customWidth="1"/>
    <col min="7216" max="7216" width="2.28515625" style="121" customWidth="1"/>
    <col min="7217" max="7217" width="0.85546875" style="121" customWidth="1"/>
    <col min="7218" max="7218" width="2" style="121" customWidth="1"/>
    <col min="7219" max="7219" width="0" style="121" hidden="1" customWidth="1"/>
    <col min="7220" max="7220" width="2.140625" style="121" customWidth="1"/>
    <col min="7221" max="7221" width="1.5703125" style="121" customWidth="1"/>
    <col min="7222" max="7222" width="1.140625" style="121" customWidth="1"/>
    <col min="7223" max="7223" width="1" style="121" customWidth="1"/>
    <col min="7224" max="7224" width="5" style="121" customWidth="1"/>
    <col min="7225" max="7225" width="2.28515625" style="121" customWidth="1"/>
    <col min="7226" max="7226" width="1.42578125" style="121" customWidth="1"/>
    <col min="7227" max="7229" width="2.140625" style="121" customWidth="1"/>
    <col min="7230" max="7230" width="3.28515625" style="121" customWidth="1"/>
    <col min="7231" max="7231" width="2.42578125" style="121" customWidth="1"/>
    <col min="7232" max="7232" width="2.140625" style="121" customWidth="1"/>
    <col min="7233" max="7233" width="2.7109375" style="121" customWidth="1"/>
    <col min="7234" max="7237" width="2.140625" style="121" customWidth="1"/>
    <col min="7238" max="7238" width="1.7109375" style="121" customWidth="1"/>
    <col min="7239" max="7354" width="2.140625" style="121" customWidth="1"/>
    <col min="7355" max="7423" width="11.42578125" style="121"/>
    <col min="7424" max="7424" width="2.28515625" style="121" customWidth="1"/>
    <col min="7425" max="7425" width="23.5703125" style="121" customWidth="1"/>
    <col min="7426" max="7426" width="2.42578125" style="121" customWidth="1"/>
    <col min="7427" max="7427" width="1.7109375" style="121" customWidth="1"/>
    <col min="7428" max="7428" width="2.7109375" style="121" customWidth="1"/>
    <col min="7429" max="7429" width="7" style="121" customWidth="1"/>
    <col min="7430" max="7430" width="1.28515625" style="121" customWidth="1"/>
    <col min="7431" max="7431" width="0.7109375" style="121" customWidth="1"/>
    <col min="7432" max="7436" width="2.140625" style="121" customWidth="1"/>
    <col min="7437" max="7438" width="1.7109375" style="121" customWidth="1"/>
    <col min="7439" max="7448" width="2.140625" style="121" customWidth="1"/>
    <col min="7449" max="7449" width="6.5703125" style="121" customWidth="1"/>
    <col min="7450" max="7450" width="1.28515625" style="121" customWidth="1"/>
    <col min="7451" max="7451" width="3.7109375" style="121" customWidth="1"/>
    <col min="7452" max="7452" width="1.85546875" style="121" customWidth="1"/>
    <col min="7453" max="7456" width="2.140625" style="121" customWidth="1"/>
    <col min="7457" max="7458" width="6.42578125" style="121" customWidth="1"/>
    <col min="7459" max="7459" width="2.140625" style="121" customWidth="1"/>
    <col min="7460" max="7460" width="7.7109375" style="121" customWidth="1"/>
    <col min="7461" max="7461" width="5.5703125" style="121" customWidth="1"/>
    <col min="7462" max="7462" width="2.140625" style="121" customWidth="1"/>
    <col min="7463" max="7463" width="7" style="121" customWidth="1"/>
    <col min="7464" max="7464" width="6.5703125" style="121" customWidth="1"/>
    <col min="7465" max="7465" width="1.140625" style="121" customWidth="1"/>
    <col min="7466" max="7466" width="5.28515625" style="121" customWidth="1"/>
    <col min="7467" max="7467" width="5.42578125" style="121" customWidth="1"/>
    <col min="7468" max="7468" width="2" style="121" customWidth="1"/>
    <col min="7469" max="7471" width="2.140625" style="121" customWidth="1"/>
    <col min="7472" max="7472" width="2.28515625" style="121" customWidth="1"/>
    <col min="7473" max="7473" width="0.85546875" style="121" customWidth="1"/>
    <col min="7474" max="7474" width="2" style="121" customWidth="1"/>
    <col min="7475" max="7475" width="0" style="121" hidden="1" customWidth="1"/>
    <col min="7476" max="7476" width="2.140625" style="121" customWidth="1"/>
    <col min="7477" max="7477" width="1.5703125" style="121" customWidth="1"/>
    <col min="7478" max="7478" width="1.140625" style="121" customWidth="1"/>
    <col min="7479" max="7479" width="1" style="121" customWidth="1"/>
    <col min="7480" max="7480" width="5" style="121" customWidth="1"/>
    <col min="7481" max="7481" width="2.28515625" style="121" customWidth="1"/>
    <col min="7482" max="7482" width="1.42578125" style="121" customWidth="1"/>
    <col min="7483" max="7485" width="2.140625" style="121" customWidth="1"/>
    <col min="7486" max="7486" width="3.28515625" style="121" customWidth="1"/>
    <col min="7487" max="7487" width="2.42578125" style="121" customWidth="1"/>
    <col min="7488" max="7488" width="2.140625" style="121" customWidth="1"/>
    <col min="7489" max="7489" width="2.7109375" style="121" customWidth="1"/>
    <col min="7490" max="7493" width="2.140625" style="121" customWidth="1"/>
    <col min="7494" max="7494" width="1.7109375" style="121" customWidth="1"/>
    <col min="7495" max="7610" width="2.140625" style="121" customWidth="1"/>
    <col min="7611" max="7679" width="11.42578125" style="121"/>
    <col min="7680" max="7680" width="2.28515625" style="121" customWidth="1"/>
    <col min="7681" max="7681" width="23.5703125" style="121" customWidth="1"/>
    <col min="7682" max="7682" width="2.42578125" style="121" customWidth="1"/>
    <col min="7683" max="7683" width="1.7109375" style="121" customWidth="1"/>
    <col min="7684" max="7684" width="2.7109375" style="121" customWidth="1"/>
    <col min="7685" max="7685" width="7" style="121" customWidth="1"/>
    <col min="7686" max="7686" width="1.28515625" style="121" customWidth="1"/>
    <col min="7687" max="7687" width="0.7109375" style="121" customWidth="1"/>
    <col min="7688" max="7692" width="2.140625" style="121" customWidth="1"/>
    <col min="7693" max="7694" width="1.7109375" style="121" customWidth="1"/>
    <col min="7695" max="7704" width="2.140625" style="121" customWidth="1"/>
    <col min="7705" max="7705" width="6.5703125" style="121" customWidth="1"/>
    <col min="7706" max="7706" width="1.28515625" style="121" customWidth="1"/>
    <col min="7707" max="7707" width="3.7109375" style="121" customWidth="1"/>
    <col min="7708" max="7708" width="1.85546875" style="121" customWidth="1"/>
    <col min="7709" max="7712" width="2.140625" style="121" customWidth="1"/>
    <col min="7713" max="7714" width="6.42578125" style="121" customWidth="1"/>
    <col min="7715" max="7715" width="2.140625" style="121" customWidth="1"/>
    <col min="7716" max="7716" width="7.7109375" style="121" customWidth="1"/>
    <col min="7717" max="7717" width="5.5703125" style="121" customWidth="1"/>
    <col min="7718" max="7718" width="2.140625" style="121" customWidth="1"/>
    <col min="7719" max="7719" width="7" style="121" customWidth="1"/>
    <col min="7720" max="7720" width="6.5703125" style="121" customWidth="1"/>
    <col min="7721" max="7721" width="1.140625" style="121" customWidth="1"/>
    <col min="7722" max="7722" width="5.28515625" style="121" customWidth="1"/>
    <col min="7723" max="7723" width="5.42578125" style="121" customWidth="1"/>
    <col min="7724" max="7724" width="2" style="121" customWidth="1"/>
    <col min="7725" max="7727" width="2.140625" style="121" customWidth="1"/>
    <col min="7728" max="7728" width="2.28515625" style="121" customWidth="1"/>
    <col min="7729" max="7729" width="0.85546875" style="121" customWidth="1"/>
    <col min="7730" max="7730" width="2" style="121" customWidth="1"/>
    <col min="7731" max="7731" width="0" style="121" hidden="1" customWidth="1"/>
    <col min="7732" max="7732" width="2.140625" style="121" customWidth="1"/>
    <col min="7733" max="7733" width="1.5703125" style="121" customWidth="1"/>
    <col min="7734" max="7734" width="1.140625" style="121" customWidth="1"/>
    <col min="7735" max="7735" width="1" style="121" customWidth="1"/>
    <col min="7736" max="7736" width="5" style="121" customWidth="1"/>
    <col min="7737" max="7737" width="2.28515625" style="121" customWidth="1"/>
    <col min="7738" max="7738" width="1.42578125" style="121" customWidth="1"/>
    <col min="7739" max="7741" width="2.140625" style="121" customWidth="1"/>
    <col min="7742" max="7742" width="3.28515625" style="121" customWidth="1"/>
    <col min="7743" max="7743" width="2.42578125" style="121" customWidth="1"/>
    <col min="7744" max="7744" width="2.140625" style="121" customWidth="1"/>
    <col min="7745" max="7745" width="2.7109375" style="121" customWidth="1"/>
    <col min="7746" max="7749" width="2.140625" style="121" customWidth="1"/>
    <col min="7750" max="7750" width="1.7109375" style="121" customWidth="1"/>
    <col min="7751" max="7866" width="2.140625" style="121" customWidth="1"/>
    <col min="7867" max="7935" width="11.42578125" style="121"/>
    <col min="7936" max="7936" width="2.28515625" style="121" customWidth="1"/>
    <col min="7937" max="7937" width="23.5703125" style="121" customWidth="1"/>
    <col min="7938" max="7938" width="2.42578125" style="121" customWidth="1"/>
    <col min="7939" max="7939" width="1.7109375" style="121" customWidth="1"/>
    <col min="7940" max="7940" width="2.7109375" style="121" customWidth="1"/>
    <col min="7941" max="7941" width="7" style="121" customWidth="1"/>
    <col min="7942" max="7942" width="1.28515625" style="121" customWidth="1"/>
    <col min="7943" max="7943" width="0.7109375" style="121" customWidth="1"/>
    <col min="7944" max="7948" width="2.140625" style="121" customWidth="1"/>
    <col min="7949" max="7950" width="1.7109375" style="121" customWidth="1"/>
    <col min="7951" max="7960" width="2.140625" style="121" customWidth="1"/>
    <col min="7961" max="7961" width="6.5703125" style="121" customWidth="1"/>
    <col min="7962" max="7962" width="1.28515625" style="121" customWidth="1"/>
    <col min="7963" max="7963" width="3.7109375" style="121" customWidth="1"/>
    <col min="7964" max="7964" width="1.85546875" style="121" customWidth="1"/>
    <col min="7965" max="7968" width="2.140625" style="121" customWidth="1"/>
    <col min="7969" max="7970" width="6.42578125" style="121" customWidth="1"/>
    <col min="7971" max="7971" width="2.140625" style="121" customWidth="1"/>
    <col min="7972" max="7972" width="7.7109375" style="121" customWidth="1"/>
    <col min="7973" max="7973" width="5.5703125" style="121" customWidth="1"/>
    <col min="7974" max="7974" width="2.140625" style="121" customWidth="1"/>
    <col min="7975" max="7975" width="7" style="121" customWidth="1"/>
    <col min="7976" max="7976" width="6.5703125" style="121" customWidth="1"/>
    <col min="7977" max="7977" width="1.140625" style="121" customWidth="1"/>
    <col min="7978" max="7978" width="5.28515625" style="121" customWidth="1"/>
    <col min="7979" max="7979" width="5.42578125" style="121" customWidth="1"/>
    <col min="7980" max="7980" width="2" style="121" customWidth="1"/>
    <col min="7981" max="7983" width="2.140625" style="121" customWidth="1"/>
    <col min="7984" max="7984" width="2.28515625" style="121" customWidth="1"/>
    <col min="7985" max="7985" width="0.85546875" style="121" customWidth="1"/>
    <col min="7986" max="7986" width="2" style="121" customWidth="1"/>
    <col min="7987" max="7987" width="0" style="121" hidden="1" customWidth="1"/>
    <col min="7988" max="7988" width="2.140625" style="121" customWidth="1"/>
    <col min="7989" max="7989" width="1.5703125" style="121" customWidth="1"/>
    <col min="7990" max="7990" width="1.140625" style="121" customWidth="1"/>
    <col min="7991" max="7991" width="1" style="121" customWidth="1"/>
    <col min="7992" max="7992" width="5" style="121" customWidth="1"/>
    <col min="7993" max="7993" width="2.28515625" style="121" customWidth="1"/>
    <col min="7994" max="7994" width="1.42578125" style="121" customWidth="1"/>
    <col min="7995" max="7997" width="2.140625" style="121" customWidth="1"/>
    <col min="7998" max="7998" width="3.28515625" style="121" customWidth="1"/>
    <col min="7999" max="7999" width="2.42578125" style="121" customWidth="1"/>
    <col min="8000" max="8000" width="2.140625" style="121" customWidth="1"/>
    <col min="8001" max="8001" width="2.7109375" style="121" customWidth="1"/>
    <col min="8002" max="8005" width="2.140625" style="121" customWidth="1"/>
    <col min="8006" max="8006" width="1.7109375" style="121" customWidth="1"/>
    <col min="8007" max="8122" width="2.140625" style="121" customWidth="1"/>
    <col min="8123" max="8191" width="11.42578125" style="121"/>
    <col min="8192" max="8192" width="2.28515625" style="121" customWidth="1"/>
    <col min="8193" max="8193" width="23.5703125" style="121" customWidth="1"/>
    <col min="8194" max="8194" width="2.42578125" style="121" customWidth="1"/>
    <col min="8195" max="8195" width="1.7109375" style="121" customWidth="1"/>
    <col min="8196" max="8196" width="2.7109375" style="121" customWidth="1"/>
    <col min="8197" max="8197" width="7" style="121" customWidth="1"/>
    <col min="8198" max="8198" width="1.28515625" style="121" customWidth="1"/>
    <col min="8199" max="8199" width="0.7109375" style="121" customWidth="1"/>
    <col min="8200" max="8204" width="2.140625" style="121" customWidth="1"/>
    <col min="8205" max="8206" width="1.7109375" style="121" customWidth="1"/>
    <col min="8207" max="8216" width="2.140625" style="121" customWidth="1"/>
    <col min="8217" max="8217" width="6.5703125" style="121" customWidth="1"/>
    <col min="8218" max="8218" width="1.28515625" style="121" customWidth="1"/>
    <col min="8219" max="8219" width="3.7109375" style="121" customWidth="1"/>
    <col min="8220" max="8220" width="1.85546875" style="121" customWidth="1"/>
    <col min="8221" max="8224" width="2.140625" style="121" customWidth="1"/>
    <col min="8225" max="8226" width="6.42578125" style="121" customWidth="1"/>
    <col min="8227" max="8227" width="2.140625" style="121" customWidth="1"/>
    <col min="8228" max="8228" width="7.7109375" style="121" customWidth="1"/>
    <col min="8229" max="8229" width="5.5703125" style="121" customWidth="1"/>
    <col min="8230" max="8230" width="2.140625" style="121" customWidth="1"/>
    <col min="8231" max="8231" width="7" style="121" customWidth="1"/>
    <col min="8232" max="8232" width="6.5703125" style="121" customWidth="1"/>
    <col min="8233" max="8233" width="1.140625" style="121" customWidth="1"/>
    <col min="8234" max="8234" width="5.28515625" style="121" customWidth="1"/>
    <col min="8235" max="8235" width="5.42578125" style="121" customWidth="1"/>
    <col min="8236" max="8236" width="2" style="121" customWidth="1"/>
    <col min="8237" max="8239" width="2.140625" style="121" customWidth="1"/>
    <col min="8240" max="8240" width="2.28515625" style="121" customWidth="1"/>
    <col min="8241" max="8241" width="0.85546875" style="121" customWidth="1"/>
    <col min="8242" max="8242" width="2" style="121" customWidth="1"/>
    <col min="8243" max="8243" width="0" style="121" hidden="1" customWidth="1"/>
    <col min="8244" max="8244" width="2.140625" style="121" customWidth="1"/>
    <col min="8245" max="8245" width="1.5703125" style="121" customWidth="1"/>
    <col min="8246" max="8246" width="1.140625" style="121" customWidth="1"/>
    <col min="8247" max="8247" width="1" style="121" customWidth="1"/>
    <col min="8248" max="8248" width="5" style="121" customWidth="1"/>
    <col min="8249" max="8249" width="2.28515625" style="121" customWidth="1"/>
    <col min="8250" max="8250" width="1.42578125" style="121" customWidth="1"/>
    <col min="8251" max="8253" width="2.140625" style="121" customWidth="1"/>
    <col min="8254" max="8254" width="3.28515625" style="121" customWidth="1"/>
    <col min="8255" max="8255" width="2.42578125" style="121" customWidth="1"/>
    <col min="8256" max="8256" width="2.140625" style="121" customWidth="1"/>
    <col min="8257" max="8257" width="2.7109375" style="121" customWidth="1"/>
    <col min="8258" max="8261" width="2.140625" style="121" customWidth="1"/>
    <col min="8262" max="8262" width="1.7109375" style="121" customWidth="1"/>
    <col min="8263" max="8378" width="2.140625" style="121" customWidth="1"/>
    <col min="8379" max="8447" width="11.42578125" style="121"/>
    <col min="8448" max="8448" width="2.28515625" style="121" customWidth="1"/>
    <col min="8449" max="8449" width="23.5703125" style="121" customWidth="1"/>
    <col min="8450" max="8450" width="2.42578125" style="121" customWidth="1"/>
    <col min="8451" max="8451" width="1.7109375" style="121" customWidth="1"/>
    <col min="8452" max="8452" width="2.7109375" style="121" customWidth="1"/>
    <col min="8453" max="8453" width="7" style="121" customWidth="1"/>
    <col min="8454" max="8454" width="1.28515625" style="121" customWidth="1"/>
    <col min="8455" max="8455" width="0.7109375" style="121" customWidth="1"/>
    <col min="8456" max="8460" width="2.140625" style="121" customWidth="1"/>
    <col min="8461" max="8462" width="1.7109375" style="121" customWidth="1"/>
    <col min="8463" max="8472" width="2.140625" style="121" customWidth="1"/>
    <col min="8473" max="8473" width="6.5703125" style="121" customWidth="1"/>
    <col min="8474" max="8474" width="1.28515625" style="121" customWidth="1"/>
    <col min="8475" max="8475" width="3.7109375" style="121" customWidth="1"/>
    <col min="8476" max="8476" width="1.85546875" style="121" customWidth="1"/>
    <col min="8477" max="8480" width="2.140625" style="121" customWidth="1"/>
    <col min="8481" max="8482" width="6.42578125" style="121" customWidth="1"/>
    <col min="8483" max="8483" width="2.140625" style="121" customWidth="1"/>
    <col min="8484" max="8484" width="7.7109375" style="121" customWidth="1"/>
    <col min="8485" max="8485" width="5.5703125" style="121" customWidth="1"/>
    <col min="8486" max="8486" width="2.140625" style="121" customWidth="1"/>
    <col min="8487" max="8487" width="7" style="121" customWidth="1"/>
    <col min="8488" max="8488" width="6.5703125" style="121" customWidth="1"/>
    <col min="8489" max="8489" width="1.140625" style="121" customWidth="1"/>
    <col min="8490" max="8490" width="5.28515625" style="121" customWidth="1"/>
    <col min="8491" max="8491" width="5.42578125" style="121" customWidth="1"/>
    <col min="8492" max="8492" width="2" style="121" customWidth="1"/>
    <col min="8493" max="8495" width="2.140625" style="121" customWidth="1"/>
    <col min="8496" max="8496" width="2.28515625" style="121" customWidth="1"/>
    <col min="8497" max="8497" width="0.85546875" style="121" customWidth="1"/>
    <col min="8498" max="8498" width="2" style="121" customWidth="1"/>
    <col min="8499" max="8499" width="0" style="121" hidden="1" customWidth="1"/>
    <col min="8500" max="8500" width="2.140625" style="121" customWidth="1"/>
    <col min="8501" max="8501" width="1.5703125" style="121" customWidth="1"/>
    <col min="8502" max="8502" width="1.140625" style="121" customWidth="1"/>
    <col min="8503" max="8503" width="1" style="121" customWidth="1"/>
    <col min="8504" max="8504" width="5" style="121" customWidth="1"/>
    <col min="8505" max="8505" width="2.28515625" style="121" customWidth="1"/>
    <col min="8506" max="8506" width="1.42578125" style="121" customWidth="1"/>
    <col min="8507" max="8509" width="2.140625" style="121" customWidth="1"/>
    <col min="8510" max="8510" width="3.28515625" style="121" customWidth="1"/>
    <col min="8511" max="8511" width="2.42578125" style="121" customWidth="1"/>
    <col min="8512" max="8512" width="2.140625" style="121" customWidth="1"/>
    <col min="8513" max="8513" width="2.7109375" style="121" customWidth="1"/>
    <col min="8514" max="8517" width="2.140625" style="121" customWidth="1"/>
    <col min="8518" max="8518" width="1.7109375" style="121" customWidth="1"/>
    <col min="8519" max="8634" width="2.140625" style="121" customWidth="1"/>
    <col min="8635" max="8703" width="11.42578125" style="121"/>
    <col min="8704" max="8704" width="2.28515625" style="121" customWidth="1"/>
    <col min="8705" max="8705" width="23.5703125" style="121" customWidth="1"/>
    <col min="8706" max="8706" width="2.42578125" style="121" customWidth="1"/>
    <col min="8707" max="8707" width="1.7109375" style="121" customWidth="1"/>
    <col min="8708" max="8708" width="2.7109375" style="121" customWidth="1"/>
    <col min="8709" max="8709" width="7" style="121" customWidth="1"/>
    <col min="8710" max="8710" width="1.28515625" style="121" customWidth="1"/>
    <col min="8711" max="8711" width="0.7109375" style="121" customWidth="1"/>
    <col min="8712" max="8716" width="2.140625" style="121" customWidth="1"/>
    <col min="8717" max="8718" width="1.7109375" style="121" customWidth="1"/>
    <col min="8719" max="8728" width="2.140625" style="121" customWidth="1"/>
    <col min="8729" max="8729" width="6.5703125" style="121" customWidth="1"/>
    <col min="8730" max="8730" width="1.28515625" style="121" customWidth="1"/>
    <col min="8731" max="8731" width="3.7109375" style="121" customWidth="1"/>
    <col min="8732" max="8732" width="1.85546875" style="121" customWidth="1"/>
    <col min="8733" max="8736" width="2.140625" style="121" customWidth="1"/>
    <col min="8737" max="8738" width="6.42578125" style="121" customWidth="1"/>
    <col min="8739" max="8739" width="2.140625" style="121" customWidth="1"/>
    <col min="8740" max="8740" width="7.7109375" style="121" customWidth="1"/>
    <col min="8741" max="8741" width="5.5703125" style="121" customWidth="1"/>
    <col min="8742" max="8742" width="2.140625" style="121" customWidth="1"/>
    <col min="8743" max="8743" width="7" style="121" customWidth="1"/>
    <col min="8744" max="8744" width="6.5703125" style="121" customWidth="1"/>
    <col min="8745" max="8745" width="1.140625" style="121" customWidth="1"/>
    <col min="8746" max="8746" width="5.28515625" style="121" customWidth="1"/>
    <col min="8747" max="8747" width="5.42578125" style="121" customWidth="1"/>
    <col min="8748" max="8748" width="2" style="121" customWidth="1"/>
    <col min="8749" max="8751" width="2.140625" style="121" customWidth="1"/>
    <col min="8752" max="8752" width="2.28515625" style="121" customWidth="1"/>
    <col min="8753" max="8753" width="0.85546875" style="121" customWidth="1"/>
    <col min="8754" max="8754" width="2" style="121" customWidth="1"/>
    <col min="8755" max="8755" width="0" style="121" hidden="1" customWidth="1"/>
    <col min="8756" max="8756" width="2.140625" style="121" customWidth="1"/>
    <col min="8757" max="8757" width="1.5703125" style="121" customWidth="1"/>
    <col min="8758" max="8758" width="1.140625" style="121" customWidth="1"/>
    <col min="8759" max="8759" width="1" style="121" customWidth="1"/>
    <col min="8760" max="8760" width="5" style="121" customWidth="1"/>
    <col min="8761" max="8761" width="2.28515625" style="121" customWidth="1"/>
    <col min="8762" max="8762" width="1.42578125" style="121" customWidth="1"/>
    <col min="8763" max="8765" width="2.140625" style="121" customWidth="1"/>
    <col min="8766" max="8766" width="3.28515625" style="121" customWidth="1"/>
    <col min="8767" max="8767" width="2.42578125" style="121" customWidth="1"/>
    <col min="8768" max="8768" width="2.140625" style="121" customWidth="1"/>
    <col min="8769" max="8769" width="2.7109375" style="121" customWidth="1"/>
    <col min="8770" max="8773" width="2.140625" style="121" customWidth="1"/>
    <col min="8774" max="8774" width="1.7109375" style="121" customWidth="1"/>
    <col min="8775" max="8890" width="2.140625" style="121" customWidth="1"/>
    <col min="8891" max="8959" width="11.42578125" style="121"/>
    <col min="8960" max="8960" width="2.28515625" style="121" customWidth="1"/>
    <col min="8961" max="8961" width="23.5703125" style="121" customWidth="1"/>
    <col min="8962" max="8962" width="2.42578125" style="121" customWidth="1"/>
    <col min="8963" max="8963" width="1.7109375" style="121" customWidth="1"/>
    <col min="8964" max="8964" width="2.7109375" style="121" customWidth="1"/>
    <col min="8965" max="8965" width="7" style="121" customWidth="1"/>
    <col min="8966" max="8966" width="1.28515625" style="121" customWidth="1"/>
    <col min="8967" max="8967" width="0.7109375" style="121" customWidth="1"/>
    <col min="8968" max="8972" width="2.140625" style="121" customWidth="1"/>
    <col min="8973" max="8974" width="1.7109375" style="121" customWidth="1"/>
    <col min="8975" max="8984" width="2.140625" style="121" customWidth="1"/>
    <col min="8985" max="8985" width="6.5703125" style="121" customWidth="1"/>
    <col min="8986" max="8986" width="1.28515625" style="121" customWidth="1"/>
    <col min="8987" max="8987" width="3.7109375" style="121" customWidth="1"/>
    <col min="8988" max="8988" width="1.85546875" style="121" customWidth="1"/>
    <col min="8989" max="8992" width="2.140625" style="121" customWidth="1"/>
    <col min="8993" max="8994" width="6.42578125" style="121" customWidth="1"/>
    <col min="8995" max="8995" width="2.140625" style="121" customWidth="1"/>
    <col min="8996" max="8996" width="7.7109375" style="121" customWidth="1"/>
    <col min="8997" max="8997" width="5.5703125" style="121" customWidth="1"/>
    <col min="8998" max="8998" width="2.140625" style="121" customWidth="1"/>
    <col min="8999" max="8999" width="7" style="121" customWidth="1"/>
    <col min="9000" max="9000" width="6.5703125" style="121" customWidth="1"/>
    <col min="9001" max="9001" width="1.140625" style="121" customWidth="1"/>
    <col min="9002" max="9002" width="5.28515625" style="121" customWidth="1"/>
    <col min="9003" max="9003" width="5.42578125" style="121" customWidth="1"/>
    <col min="9004" max="9004" width="2" style="121" customWidth="1"/>
    <col min="9005" max="9007" width="2.140625" style="121" customWidth="1"/>
    <col min="9008" max="9008" width="2.28515625" style="121" customWidth="1"/>
    <col min="9009" max="9009" width="0.85546875" style="121" customWidth="1"/>
    <col min="9010" max="9010" width="2" style="121" customWidth="1"/>
    <col min="9011" max="9011" width="0" style="121" hidden="1" customWidth="1"/>
    <col min="9012" max="9012" width="2.140625" style="121" customWidth="1"/>
    <col min="9013" max="9013" width="1.5703125" style="121" customWidth="1"/>
    <col min="9014" max="9014" width="1.140625" style="121" customWidth="1"/>
    <col min="9015" max="9015" width="1" style="121" customWidth="1"/>
    <col min="9016" max="9016" width="5" style="121" customWidth="1"/>
    <col min="9017" max="9017" width="2.28515625" style="121" customWidth="1"/>
    <col min="9018" max="9018" width="1.42578125" style="121" customWidth="1"/>
    <col min="9019" max="9021" width="2.140625" style="121" customWidth="1"/>
    <col min="9022" max="9022" width="3.28515625" style="121" customWidth="1"/>
    <col min="9023" max="9023" width="2.42578125" style="121" customWidth="1"/>
    <col min="9024" max="9024" width="2.140625" style="121" customWidth="1"/>
    <col min="9025" max="9025" width="2.7109375" style="121" customWidth="1"/>
    <col min="9026" max="9029" width="2.140625" style="121" customWidth="1"/>
    <col min="9030" max="9030" width="1.7109375" style="121" customWidth="1"/>
    <col min="9031" max="9146" width="2.140625" style="121" customWidth="1"/>
    <col min="9147" max="9215" width="11.42578125" style="121"/>
    <col min="9216" max="9216" width="2.28515625" style="121" customWidth="1"/>
    <col min="9217" max="9217" width="23.5703125" style="121" customWidth="1"/>
    <col min="9218" max="9218" width="2.42578125" style="121" customWidth="1"/>
    <col min="9219" max="9219" width="1.7109375" style="121" customWidth="1"/>
    <col min="9220" max="9220" width="2.7109375" style="121" customWidth="1"/>
    <col min="9221" max="9221" width="7" style="121" customWidth="1"/>
    <col min="9222" max="9222" width="1.28515625" style="121" customWidth="1"/>
    <col min="9223" max="9223" width="0.7109375" style="121" customWidth="1"/>
    <col min="9224" max="9228" width="2.140625" style="121" customWidth="1"/>
    <col min="9229" max="9230" width="1.7109375" style="121" customWidth="1"/>
    <col min="9231" max="9240" width="2.140625" style="121" customWidth="1"/>
    <col min="9241" max="9241" width="6.5703125" style="121" customWidth="1"/>
    <col min="9242" max="9242" width="1.28515625" style="121" customWidth="1"/>
    <col min="9243" max="9243" width="3.7109375" style="121" customWidth="1"/>
    <col min="9244" max="9244" width="1.85546875" style="121" customWidth="1"/>
    <col min="9245" max="9248" width="2.140625" style="121" customWidth="1"/>
    <col min="9249" max="9250" width="6.42578125" style="121" customWidth="1"/>
    <col min="9251" max="9251" width="2.140625" style="121" customWidth="1"/>
    <col min="9252" max="9252" width="7.7109375" style="121" customWidth="1"/>
    <col min="9253" max="9253" width="5.5703125" style="121" customWidth="1"/>
    <col min="9254" max="9254" width="2.140625" style="121" customWidth="1"/>
    <col min="9255" max="9255" width="7" style="121" customWidth="1"/>
    <col min="9256" max="9256" width="6.5703125" style="121" customWidth="1"/>
    <col min="9257" max="9257" width="1.140625" style="121" customWidth="1"/>
    <col min="9258" max="9258" width="5.28515625" style="121" customWidth="1"/>
    <col min="9259" max="9259" width="5.42578125" style="121" customWidth="1"/>
    <col min="9260" max="9260" width="2" style="121" customWidth="1"/>
    <col min="9261" max="9263" width="2.140625" style="121" customWidth="1"/>
    <col min="9264" max="9264" width="2.28515625" style="121" customWidth="1"/>
    <col min="9265" max="9265" width="0.85546875" style="121" customWidth="1"/>
    <col min="9266" max="9266" width="2" style="121" customWidth="1"/>
    <col min="9267" max="9267" width="0" style="121" hidden="1" customWidth="1"/>
    <col min="9268" max="9268" width="2.140625" style="121" customWidth="1"/>
    <col min="9269" max="9269" width="1.5703125" style="121" customWidth="1"/>
    <col min="9270" max="9270" width="1.140625" style="121" customWidth="1"/>
    <col min="9271" max="9271" width="1" style="121" customWidth="1"/>
    <col min="9272" max="9272" width="5" style="121" customWidth="1"/>
    <col min="9273" max="9273" width="2.28515625" style="121" customWidth="1"/>
    <col min="9274" max="9274" width="1.42578125" style="121" customWidth="1"/>
    <col min="9275" max="9277" width="2.140625" style="121" customWidth="1"/>
    <col min="9278" max="9278" width="3.28515625" style="121" customWidth="1"/>
    <col min="9279" max="9279" width="2.42578125" style="121" customWidth="1"/>
    <col min="9280" max="9280" width="2.140625" style="121" customWidth="1"/>
    <col min="9281" max="9281" width="2.7109375" style="121" customWidth="1"/>
    <col min="9282" max="9285" width="2.140625" style="121" customWidth="1"/>
    <col min="9286" max="9286" width="1.7109375" style="121" customWidth="1"/>
    <col min="9287" max="9402" width="2.140625" style="121" customWidth="1"/>
    <col min="9403" max="9471" width="11.42578125" style="121"/>
    <col min="9472" max="9472" width="2.28515625" style="121" customWidth="1"/>
    <col min="9473" max="9473" width="23.5703125" style="121" customWidth="1"/>
    <col min="9474" max="9474" width="2.42578125" style="121" customWidth="1"/>
    <col min="9475" max="9475" width="1.7109375" style="121" customWidth="1"/>
    <col min="9476" max="9476" width="2.7109375" style="121" customWidth="1"/>
    <col min="9477" max="9477" width="7" style="121" customWidth="1"/>
    <col min="9478" max="9478" width="1.28515625" style="121" customWidth="1"/>
    <col min="9479" max="9479" width="0.7109375" style="121" customWidth="1"/>
    <col min="9480" max="9484" width="2.140625" style="121" customWidth="1"/>
    <col min="9485" max="9486" width="1.7109375" style="121" customWidth="1"/>
    <col min="9487" max="9496" width="2.140625" style="121" customWidth="1"/>
    <col min="9497" max="9497" width="6.5703125" style="121" customWidth="1"/>
    <col min="9498" max="9498" width="1.28515625" style="121" customWidth="1"/>
    <col min="9499" max="9499" width="3.7109375" style="121" customWidth="1"/>
    <col min="9500" max="9500" width="1.85546875" style="121" customWidth="1"/>
    <col min="9501" max="9504" width="2.140625" style="121" customWidth="1"/>
    <col min="9505" max="9506" width="6.42578125" style="121" customWidth="1"/>
    <col min="9507" max="9507" width="2.140625" style="121" customWidth="1"/>
    <col min="9508" max="9508" width="7.7109375" style="121" customWidth="1"/>
    <col min="9509" max="9509" width="5.5703125" style="121" customWidth="1"/>
    <col min="9510" max="9510" width="2.140625" style="121" customWidth="1"/>
    <col min="9511" max="9511" width="7" style="121" customWidth="1"/>
    <col min="9512" max="9512" width="6.5703125" style="121" customWidth="1"/>
    <col min="9513" max="9513" width="1.140625" style="121" customWidth="1"/>
    <col min="9514" max="9514" width="5.28515625" style="121" customWidth="1"/>
    <col min="9515" max="9515" width="5.42578125" style="121" customWidth="1"/>
    <col min="9516" max="9516" width="2" style="121" customWidth="1"/>
    <col min="9517" max="9519" width="2.140625" style="121" customWidth="1"/>
    <col min="9520" max="9520" width="2.28515625" style="121" customWidth="1"/>
    <col min="9521" max="9521" width="0.85546875" style="121" customWidth="1"/>
    <col min="9522" max="9522" width="2" style="121" customWidth="1"/>
    <col min="9523" max="9523" width="0" style="121" hidden="1" customWidth="1"/>
    <col min="9524" max="9524" width="2.140625" style="121" customWidth="1"/>
    <col min="9525" max="9525" width="1.5703125" style="121" customWidth="1"/>
    <col min="9526" max="9526" width="1.140625" style="121" customWidth="1"/>
    <col min="9527" max="9527" width="1" style="121" customWidth="1"/>
    <col min="9528" max="9528" width="5" style="121" customWidth="1"/>
    <col min="9529" max="9529" width="2.28515625" style="121" customWidth="1"/>
    <col min="9530" max="9530" width="1.42578125" style="121" customWidth="1"/>
    <col min="9531" max="9533" width="2.140625" style="121" customWidth="1"/>
    <col min="9534" max="9534" width="3.28515625" style="121" customWidth="1"/>
    <col min="9535" max="9535" width="2.42578125" style="121" customWidth="1"/>
    <col min="9536" max="9536" width="2.140625" style="121" customWidth="1"/>
    <col min="9537" max="9537" width="2.7109375" style="121" customWidth="1"/>
    <col min="9538" max="9541" width="2.140625" style="121" customWidth="1"/>
    <col min="9542" max="9542" width="1.7109375" style="121" customWidth="1"/>
    <col min="9543" max="9658" width="2.140625" style="121" customWidth="1"/>
    <col min="9659" max="9727" width="11.42578125" style="121"/>
    <col min="9728" max="9728" width="2.28515625" style="121" customWidth="1"/>
    <col min="9729" max="9729" width="23.5703125" style="121" customWidth="1"/>
    <col min="9730" max="9730" width="2.42578125" style="121" customWidth="1"/>
    <col min="9731" max="9731" width="1.7109375" style="121" customWidth="1"/>
    <col min="9732" max="9732" width="2.7109375" style="121" customWidth="1"/>
    <col min="9733" max="9733" width="7" style="121" customWidth="1"/>
    <col min="9734" max="9734" width="1.28515625" style="121" customWidth="1"/>
    <col min="9735" max="9735" width="0.7109375" style="121" customWidth="1"/>
    <col min="9736" max="9740" width="2.140625" style="121" customWidth="1"/>
    <col min="9741" max="9742" width="1.7109375" style="121" customWidth="1"/>
    <col min="9743" max="9752" width="2.140625" style="121" customWidth="1"/>
    <col min="9753" max="9753" width="6.5703125" style="121" customWidth="1"/>
    <col min="9754" max="9754" width="1.28515625" style="121" customWidth="1"/>
    <col min="9755" max="9755" width="3.7109375" style="121" customWidth="1"/>
    <col min="9756" max="9756" width="1.85546875" style="121" customWidth="1"/>
    <col min="9757" max="9760" width="2.140625" style="121" customWidth="1"/>
    <col min="9761" max="9762" width="6.42578125" style="121" customWidth="1"/>
    <col min="9763" max="9763" width="2.140625" style="121" customWidth="1"/>
    <col min="9764" max="9764" width="7.7109375" style="121" customWidth="1"/>
    <col min="9765" max="9765" width="5.5703125" style="121" customWidth="1"/>
    <col min="9766" max="9766" width="2.140625" style="121" customWidth="1"/>
    <col min="9767" max="9767" width="7" style="121" customWidth="1"/>
    <col min="9768" max="9768" width="6.5703125" style="121" customWidth="1"/>
    <col min="9769" max="9769" width="1.140625" style="121" customWidth="1"/>
    <col min="9770" max="9770" width="5.28515625" style="121" customWidth="1"/>
    <col min="9771" max="9771" width="5.42578125" style="121" customWidth="1"/>
    <col min="9772" max="9772" width="2" style="121" customWidth="1"/>
    <col min="9773" max="9775" width="2.140625" style="121" customWidth="1"/>
    <col min="9776" max="9776" width="2.28515625" style="121" customWidth="1"/>
    <col min="9777" max="9777" width="0.85546875" style="121" customWidth="1"/>
    <col min="9778" max="9778" width="2" style="121" customWidth="1"/>
    <col min="9779" max="9779" width="0" style="121" hidden="1" customWidth="1"/>
    <col min="9780" max="9780" width="2.140625" style="121" customWidth="1"/>
    <col min="9781" max="9781" width="1.5703125" style="121" customWidth="1"/>
    <col min="9782" max="9782" width="1.140625" style="121" customWidth="1"/>
    <col min="9783" max="9783" width="1" style="121" customWidth="1"/>
    <col min="9784" max="9784" width="5" style="121" customWidth="1"/>
    <col min="9785" max="9785" width="2.28515625" style="121" customWidth="1"/>
    <col min="9786" max="9786" width="1.42578125" style="121" customWidth="1"/>
    <col min="9787" max="9789" width="2.140625" style="121" customWidth="1"/>
    <col min="9790" max="9790" width="3.28515625" style="121" customWidth="1"/>
    <col min="9791" max="9791" width="2.42578125" style="121" customWidth="1"/>
    <col min="9792" max="9792" width="2.140625" style="121" customWidth="1"/>
    <col min="9793" max="9793" width="2.7109375" style="121" customWidth="1"/>
    <col min="9794" max="9797" width="2.140625" style="121" customWidth="1"/>
    <col min="9798" max="9798" width="1.7109375" style="121" customWidth="1"/>
    <col min="9799" max="9914" width="2.140625" style="121" customWidth="1"/>
    <col min="9915" max="9983" width="11.42578125" style="121"/>
    <col min="9984" max="9984" width="2.28515625" style="121" customWidth="1"/>
    <col min="9985" max="9985" width="23.5703125" style="121" customWidth="1"/>
    <col min="9986" max="9986" width="2.42578125" style="121" customWidth="1"/>
    <col min="9987" max="9987" width="1.7109375" style="121" customWidth="1"/>
    <col min="9988" max="9988" width="2.7109375" style="121" customWidth="1"/>
    <col min="9989" max="9989" width="7" style="121" customWidth="1"/>
    <col min="9990" max="9990" width="1.28515625" style="121" customWidth="1"/>
    <col min="9991" max="9991" width="0.7109375" style="121" customWidth="1"/>
    <col min="9992" max="9996" width="2.140625" style="121" customWidth="1"/>
    <col min="9997" max="9998" width="1.7109375" style="121" customWidth="1"/>
    <col min="9999" max="10008" width="2.140625" style="121" customWidth="1"/>
    <col min="10009" max="10009" width="6.5703125" style="121" customWidth="1"/>
    <col min="10010" max="10010" width="1.28515625" style="121" customWidth="1"/>
    <col min="10011" max="10011" width="3.7109375" style="121" customWidth="1"/>
    <col min="10012" max="10012" width="1.85546875" style="121" customWidth="1"/>
    <col min="10013" max="10016" width="2.140625" style="121" customWidth="1"/>
    <col min="10017" max="10018" width="6.42578125" style="121" customWidth="1"/>
    <col min="10019" max="10019" width="2.140625" style="121" customWidth="1"/>
    <col min="10020" max="10020" width="7.7109375" style="121" customWidth="1"/>
    <col min="10021" max="10021" width="5.5703125" style="121" customWidth="1"/>
    <col min="10022" max="10022" width="2.140625" style="121" customWidth="1"/>
    <col min="10023" max="10023" width="7" style="121" customWidth="1"/>
    <col min="10024" max="10024" width="6.5703125" style="121" customWidth="1"/>
    <col min="10025" max="10025" width="1.140625" style="121" customWidth="1"/>
    <col min="10026" max="10026" width="5.28515625" style="121" customWidth="1"/>
    <col min="10027" max="10027" width="5.42578125" style="121" customWidth="1"/>
    <col min="10028" max="10028" width="2" style="121" customWidth="1"/>
    <col min="10029" max="10031" width="2.140625" style="121" customWidth="1"/>
    <col min="10032" max="10032" width="2.28515625" style="121" customWidth="1"/>
    <col min="10033" max="10033" width="0.85546875" style="121" customWidth="1"/>
    <col min="10034" max="10034" width="2" style="121" customWidth="1"/>
    <col min="10035" max="10035" width="0" style="121" hidden="1" customWidth="1"/>
    <col min="10036" max="10036" width="2.140625" style="121" customWidth="1"/>
    <col min="10037" max="10037" width="1.5703125" style="121" customWidth="1"/>
    <col min="10038" max="10038" width="1.140625" style="121" customWidth="1"/>
    <col min="10039" max="10039" width="1" style="121" customWidth="1"/>
    <col min="10040" max="10040" width="5" style="121" customWidth="1"/>
    <col min="10041" max="10041" width="2.28515625" style="121" customWidth="1"/>
    <col min="10042" max="10042" width="1.42578125" style="121" customWidth="1"/>
    <col min="10043" max="10045" width="2.140625" style="121" customWidth="1"/>
    <col min="10046" max="10046" width="3.28515625" style="121" customWidth="1"/>
    <col min="10047" max="10047" width="2.42578125" style="121" customWidth="1"/>
    <col min="10048" max="10048" width="2.140625" style="121" customWidth="1"/>
    <col min="10049" max="10049" width="2.7109375" style="121" customWidth="1"/>
    <col min="10050" max="10053" width="2.140625" style="121" customWidth="1"/>
    <col min="10054" max="10054" width="1.7109375" style="121" customWidth="1"/>
    <col min="10055" max="10170" width="2.140625" style="121" customWidth="1"/>
    <col min="10171" max="10239" width="11.42578125" style="121"/>
    <col min="10240" max="10240" width="2.28515625" style="121" customWidth="1"/>
    <col min="10241" max="10241" width="23.5703125" style="121" customWidth="1"/>
    <col min="10242" max="10242" width="2.42578125" style="121" customWidth="1"/>
    <col min="10243" max="10243" width="1.7109375" style="121" customWidth="1"/>
    <col min="10244" max="10244" width="2.7109375" style="121" customWidth="1"/>
    <col min="10245" max="10245" width="7" style="121" customWidth="1"/>
    <col min="10246" max="10246" width="1.28515625" style="121" customWidth="1"/>
    <col min="10247" max="10247" width="0.7109375" style="121" customWidth="1"/>
    <col min="10248" max="10252" width="2.140625" style="121" customWidth="1"/>
    <col min="10253" max="10254" width="1.7109375" style="121" customWidth="1"/>
    <col min="10255" max="10264" width="2.140625" style="121" customWidth="1"/>
    <col min="10265" max="10265" width="6.5703125" style="121" customWidth="1"/>
    <col min="10266" max="10266" width="1.28515625" style="121" customWidth="1"/>
    <col min="10267" max="10267" width="3.7109375" style="121" customWidth="1"/>
    <col min="10268" max="10268" width="1.85546875" style="121" customWidth="1"/>
    <col min="10269" max="10272" width="2.140625" style="121" customWidth="1"/>
    <col min="10273" max="10274" width="6.42578125" style="121" customWidth="1"/>
    <col min="10275" max="10275" width="2.140625" style="121" customWidth="1"/>
    <col min="10276" max="10276" width="7.7109375" style="121" customWidth="1"/>
    <col min="10277" max="10277" width="5.5703125" style="121" customWidth="1"/>
    <col min="10278" max="10278" width="2.140625" style="121" customWidth="1"/>
    <col min="10279" max="10279" width="7" style="121" customWidth="1"/>
    <col min="10280" max="10280" width="6.5703125" style="121" customWidth="1"/>
    <col min="10281" max="10281" width="1.140625" style="121" customWidth="1"/>
    <col min="10282" max="10282" width="5.28515625" style="121" customWidth="1"/>
    <col min="10283" max="10283" width="5.42578125" style="121" customWidth="1"/>
    <col min="10284" max="10284" width="2" style="121" customWidth="1"/>
    <col min="10285" max="10287" width="2.140625" style="121" customWidth="1"/>
    <col min="10288" max="10288" width="2.28515625" style="121" customWidth="1"/>
    <col min="10289" max="10289" width="0.85546875" style="121" customWidth="1"/>
    <col min="10290" max="10290" width="2" style="121" customWidth="1"/>
    <col min="10291" max="10291" width="0" style="121" hidden="1" customWidth="1"/>
    <col min="10292" max="10292" width="2.140625" style="121" customWidth="1"/>
    <col min="10293" max="10293" width="1.5703125" style="121" customWidth="1"/>
    <col min="10294" max="10294" width="1.140625" style="121" customWidth="1"/>
    <col min="10295" max="10295" width="1" style="121" customWidth="1"/>
    <col min="10296" max="10296" width="5" style="121" customWidth="1"/>
    <col min="10297" max="10297" width="2.28515625" style="121" customWidth="1"/>
    <col min="10298" max="10298" width="1.42578125" style="121" customWidth="1"/>
    <col min="10299" max="10301" width="2.140625" style="121" customWidth="1"/>
    <col min="10302" max="10302" width="3.28515625" style="121" customWidth="1"/>
    <col min="10303" max="10303" width="2.42578125" style="121" customWidth="1"/>
    <col min="10304" max="10304" width="2.140625" style="121" customWidth="1"/>
    <col min="10305" max="10305" width="2.7109375" style="121" customWidth="1"/>
    <col min="10306" max="10309" width="2.140625" style="121" customWidth="1"/>
    <col min="10310" max="10310" width="1.7109375" style="121" customWidth="1"/>
    <col min="10311" max="10426" width="2.140625" style="121" customWidth="1"/>
    <col min="10427" max="10495" width="11.42578125" style="121"/>
    <col min="10496" max="10496" width="2.28515625" style="121" customWidth="1"/>
    <col min="10497" max="10497" width="23.5703125" style="121" customWidth="1"/>
    <col min="10498" max="10498" width="2.42578125" style="121" customWidth="1"/>
    <col min="10499" max="10499" width="1.7109375" style="121" customWidth="1"/>
    <col min="10500" max="10500" width="2.7109375" style="121" customWidth="1"/>
    <col min="10501" max="10501" width="7" style="121" customWidth="1"/>
    <col min="10502" max="10502" width="1.28515625" style="121" customWidth="1"/>
    <col min="10503" max="10503" width="0.7109375" style="121" customWidth="1"/>
    <col min="10504" max="10508" width="2.140625" style="121" customWidth="1"/>
    <col min="10509" max="10510" width="1.7109375" style="121" customWidth="1"/>
    <col min="10511" max="10520" width="2.140625" style="121" customWidth="1"/>
    <col min="10521" max="10521" width="6.5703125" style="121" customWidth="1"/>
    <col min="10522" max="10522" width="1.28515625" style="121" customWidth="1"/>
    <col min="10523" max="10523" width="3.7109375" style="121" customWidth="1"/>
    <col min="10524" max="10524" width="1.85546875" style="121" customWidth="1"/>
    <col min="10525" max="10528" width="2.140625" style="121" customWidth="1"/>
    <col min="10529" max="10530" width="6.42578125" style="121" customWidth="1"/>
    <col min="10531" max="10531" width="2.140625" style="121" customWidth="1"/>
    <col min="10532" max="10532" width="7.7109375" style="121" customWidth="1"/>
    <col min="10533" max="10533" width="5.5703125" style="121" customWidth="1"/>
    <col min="10534" max="10534" width="2.140625" style="121" customWidth="1"/>
    <col min="10535" max="10535" width="7" style="121" customWidth="1"/>
    <col min="10536" max="10536" width="6.5703125" style="121" customWidth="1"/>
    <col min="10537" max="10537" width="1.140625" style="121" customWidth="1"/>
    <col min="10538" max="10538" width="5.28515625" style="121" customWidth="1"/>
    <col min="10539" max="10539" width="5.42578125" style="121" customWidth="1"/>
    <col min="10540" max="10540" width="2" style="121" customWidth="1"/>
    <col min="10541" max="10543" width="2.140625" style="121" customWidth="1"/>
    <col min="10544" max="10544" width="2.28515625" style="121" customWidth="1"/>
    <col min="10545" max="10545" width="0.85546875" style="121" customWidth="1"/>
    <col min="10546" max="10546" width="2" style="121" customWidth="1"/>
    <col min="10547" max="10547" width="0" style="121" hidden="1" customWidth="1"/>
    <col min="10548" max="10548" width="2.140625" style="121" customWidth="1"/>
    <col min="10549" max="10549" width="1.5703125" style="121" customWidth="1"/>
    <col min="10550" max="10550" width="1.140625" style="121" customWidth="1"/>
    <col min="10551" max="10551" width="1" style="121" customWidth="1"/>
    <col min="10552" max="10552" width="5" style="121" customWidth="1"/>
    <col min="10553" max="10553" width="2.28515625" style="121" customWidth="1"/>
    <col min="10554" max="10554" width="1.42578125" style="121" customWidth="1"/>
    <col min="10555" max="10557" width="2.140625" style="121" customWidth="1"/>
    <col min="10558" max="10558" width="3.28515625" style="121" customWidth="1"/>
    <col min="10559" max="10559" width="2.42578125" style="121" customWidth="1"/>
    <col min="10560" max="10560" width="2.140625" style="121" customWidth="1"/>
    <col min="10561" max="10561" width="2.7109375" style="121" customWidth="1"/>
    <col min="10562" max="10565" width="2.140625" style="121" customWidth="1"/>
    <col min="10566" max="10566" width="1.7109375" style="121" customWidth="1"/>
    <col min="10567" max="10682" width="2.140625" style="121" customWidth="1"/>
    <col min="10683" max="10751" width="11.42578125" style="121"/>
    <col min="10752" max="10752" width="2.28515625" style="121" customWidth="1"/>
    <col min="10753" max="10753" width="23.5703125" style="121" customWidth="1"/>
    <col min="10754" max="10754" width="2.42578125" style="121" customWidth="1"/>
    <col min="10755" max="10755" width="1.7109375" style="121" customWidth="1"/>
    <col min="10756" max="10756" width="2.7109375" style="121" customWidth="1"/>
    <col min="10757" max="10757" width="7" style="121" customWidth="1"/>
    <col min="10758" max="10758" width="1.28515625" style="121" customWidth="1"/>
    <col min="10759" max="10759" width="0.7109375" style="121" customWidth="1"/>
    <col min="10760" max="10764" width="2.140625" style="121" customWidth="1"/>
    <col min="10765" max="10766" width="1.7109375" style="121" customWidth="1"/>
    <col min="10767" max="10776" width="2.140625" style="121" customWidth="1"/>
    <col min="10777" max="10777" width="6.5703125" style="121" customWidth="1"/>
    <col min="10778" max="10778" width="1.28515625" style="121" customWidth="1"/>
    <col min="10779" max="10779" width="3.7109375" style="121" customWidth="1"/>
    <col min="10780" max="10780" width="1.85546875" style="121" customWidth="1"/>
    <col min="10781" max="10784" width="2.140625" style="121" customWidth="1"/>
    <col min="10785" max="10786" width="6.42578125" style="121" customWidth="1"/>
    <col min="10787" max="10787" width="2.140625" style="121" customWidth="1"/>
    <col min="10788" max="10788" width="7.7109375" style="121" customWidth="1"/>
    <col min="10789" max="10789" width="5.5703125" style="121" customWidth="1"/>
    <col min="10790" max="10790" width="2.140625" style="121" customWidth="1"/>
    <col min="10791" max="10791" width="7" style="121" customWidth="1"/>
    <col min="10792" max="10792" width="6.5703125" style="121" customWidth="1"/>
    <col min="10793" max="10793" width="1.140625" style="121" customWidth="1"/>
    <col min="10794" max="10794" width="5.28515625" style="121" customWidth="1"/>
    <col min="10795" max="10795" width="5.42578125" style="121" customWidth="1"/>
    <col min="10796" max="10796" width="2" style="121" customWidth="1"/>
    <col min="10797" max="10799" width="2.140625" style="121" customWidth="1"/>
    <col min="10800" max="10800" width="2.28515625" style="121" customWidth="1"/>
    <col min="10801" max="10801" width="0.85546875" style="121" customWidth="1"/>
    <col min="10802" max="10802" width="2" style="121" customWidth="1"/>
    <col min="10803" max="10803" width="0" style="121" hidden="1" customWidth="1"/>
    <col min="10804" max="10804" width="2.140625" style="121" customWidth="1"/>
    <col min="10805" max="10805" width="1.5703125" style="121" customWidth="1"/>
    <col min="10806" max="10806" width="1.140625" style="121" customWidth="1"/>
    <col min="10807" max="10807" width="1" style="121" customWidth="1"/>
    <col min="10808" max="10808" width="5" style="121" customWidth="1"/>
    <col min="10809" max="10809" width="2.28515625" style="121" customWidth="1"/>
    <col min="10810" max="10810" width="1.42578125" style="121" customWidth="1"/>
    <col min="10811" max="10813" width="2.140625" style="121" customWidth="1"/>
    <col min="10814" max="10814" width="3.28515625" style="121" customWidth="1"/>
    <col min="10815" max="10815" width="2.42578125" style="121" customWidth="1"/>
    <col min="10816" max="10816" width="2.140625" style="121" customWidth="1"/>
    <col min="10817" max="10817" width="2.7109375" style="121" customWidth="1"/>
    <col min="10818" max="10821" width="2.140625" style="121" customWidth="1"/>
    <col min="10822" max="10822" width="1.7109375" style="121" customWidth="1"/>
    <col min="10823" max="10938" width="2.140625" style="121" customWidth="1"/>
    <col min="10939" max="11007" width="11.42578125" style="121"/>
    <col min="11008" max="11008" width="2.28515625" style="121" customWidth="1"/>
    <col min="11009" max="11009" width="23.5703125" style="121" customWidth="1"/>
    <col min="11010" max="11010" width="2.42578125" style="121" customWidth="1"/>
    <col min="11011" max="11011" width="1.7109375" style="121" customWidth="1"/>
    <col min="11012" max="11012" width="2.7109375" style="121" customWidth="1"/>
    <col min="11013" max="11013" width="7" style="121" customWidth="1"/>
    <col min="11014" max="11014" width="1.28515625" style="121" customWidth="1"/>
    <col min="11015" max="11015" width="0.7109375" style="121" customWidth="1"/>
    <col min="11016" max="11020" width="2.140625" style="121" customWidth="1"/>
    <col min="11021" max="11022" width="1.7109375" style="121" customWidth="1"/>
    <col min="11023" max="11032" width="2.140625" style="121" customWidth="1"/>
    <col min="11033" max="11033" width="6.5703125" style="121" customWidth="1"/>
    <col min="11034" max="11034" width="1.28515625" style="121" customWidth="1"/>
    <col min="11035" max="11035" width="3.7109375" style="121" customWidth="1"/>
    <col min="11036" max="11036" width="1.85546875" style="121" customWidth="1"/>
    <col min="11037" max="11040" width="2.140625" style="121" customWidth="1"/>
    <col min="11041" max="11042" width="6.42578125" style="121" customWidth="1"/>
    <col min="11043" max="11043" width="2.140625" style="121" customWidth="1"/>
    <col min="11044" max="11044" width="7.7109375" style="121" customWidth="1"/>
    <col min="11045" max="11045" width="5.5703125" style="121" customWidth="1"/>
    <col min="11046" max="11046" width="2.140625" style="121" customWidth="1"/>
    <col min="11047" max="11047" width="7" style="121" customWidth="1"/>
    <col min="11048" max="11048" width="6.5703125" style="121" customWidth="1"/>
    <col min="11049" max="11049" width="1.140625" style="121" customWidth="1"/>
    <col min="11050" max="11050" width="5.28515625" style="121" customWidth="1"/>
    <col min="11051" max="11051" width="5.42578125" style="121" customWidth="1"/>
    <col min="11052" max="11052" width="2" style="121" customWidth="1"/>
    <col min="11053" max="11055" width="2.140625" style="121" customWidth="1"/>
    <col min="11056" max="11056" width="2.28515625" style="121" customWidth="1"/>
    <col min="11057" max="11057" width="0.85546875" style="121" customWidth="1"/>
    <col min="11058" max="11058" width="2" style="121" customWidth="1"/>
    <col min="11059" max="11059" width="0" style="121" hidden="1" customWidth="1"/>
    <col min="11060" max="11060" width="2.140625" style="121" customWidth="1"/>
    <col min="11061" max="11061" width="1.5703125" style="121" customWidth="1"/>
    <col min="11062" max="11062" width="1.140625" style="121" customWidth="1"/>
    <col min="11063" max="11063" width="1" style="121" customWidth="1"/>
    <col min="11064" max="11064" width="5" style="121" customWidth="1"/>
    <col min="11065" max="11065" width="2.28515625" style="121" customWidth="1"/>
    <col min="11066" max="11066" width="1.42578125" style="121" customWidth="1"/>
    <col min="11067" max="11069" width="2.140625" style="121" customWidth="1"/>
    <col min="11070" max="11070" width="3.28515625" style="121" customWidth="1"/>
    <col min="11071" max="11071" width="2.42578125" style="121" customWidth="1"/>
    <col min="11072" max="11072" width="2.140625" style="121" customWidth="1"/>
    <col min="11073" max="11073" width="2.7109375" style="121" customWidth="1"/>
    <col min="11074" max="11077" width="2.140625" style="121" customWidth="1"/>
    <col min="11078" max="11078" width="1.7109375" style="121" customWidth="1"/>
    <col min="11079" max="11194" width="2.140625" style="121" customWidth="1"/>
    <col min="11195" max="11263" width="11.42578125" style="121"/>
    <col min="11264" max="11264" width="2.28515625" style="121" customWidth="1"/>
    <col min="11265" max="11265" width="23.5703125" style="121" customWidth="1"/>
    <col min="11266" max="11266" width="2.42578125" style="121" customWidth="1"/>
    <col min="11267" max="11267" width="1.7109375" style="121" customWidth="1"/>
    <col min="11268" max="11268" width="2.7109375" style="121" customWidth="1"/>
    <col min="11269" max="11269" width="7" style="121" customWidth="1"/>
    <col min="11270" max="11270" width="1.28515625" style="121" customWidth="1"/>
    <col min="11271" max="11271" width="0.7109375" style="121" customWidth="1"/>
    <col min="11272" max="11276" width="2.140625" style="121" customWidth="1"/>
    <col min="11277" max="11278" width="1.7109375" style="121" customWidth="1"/>
    <col min="11279" max="11288" width="2.140625" style="121" customWidth="1"/>
    <col min="11289" max="11289" width="6.5703125" style="121" customWidth="1"/>
    <col min="11290" max="11290" width="1.28515625" style="121" customWidth="1"/>
    <col min="11291" max="11291" width="3.7109375" style="121" customWidth="1"/>
    <col min="11292" max="11292" width="1.85546875" style="121" customWidth="1"/>
    <col min="11293" max="11296" width="2.140625" style="121" customWidth="1"/>
    <col min="11297" max="11298" width="6.42578125" style="121" customWidth="1"/>
    <col min="11299" max="11299" width="2.140625" style="121" customWidth="1"/>
    <col min="11300" max="11300" width="7.7109375" style="121" customWidth="1"/>
    <col min="11301" max="11301" width="5.5703125" style="121" customWidth="1"/>
    <col min="11302" max="11302" width="2.140625" style="121" customWidth="1"/>
    <col min="11303" max="11303" width="7" style="121" customWidth="1"/>
    <col min="11304" max="11304" width="6.5703125" style="121" customWidth="1"/>
    <col min="11305" max="11305" width="1.140625" style="121" customWidth="1"/>
    <col min="11306" max="11306" width="5.28515625" style="121" customWidth="1"/>
    <col min="11307" max="11307" width="5.42578125" style="121" customWidth="1"/>
    <col min="11308" max="11308" width="2" style="121" customWidth="1"/>
    <col min="11309" max="11311" width="2.140625" style="121" customWidth="1"/>
    <col min="11312" max="11312" width="2.28515625" style="121" customWidth="1"/>
    <col min="11313" max="11313" width="0.85546875" style="121" customWidth="1"/>
    <col min="11314" max="11314" width="2" style="121" customWidth="1"/>
    <col min="11315" max="11315" width="0" style="121" hidden="1" customWidth="1"/>
    <col min="11316" max="11316" width="2.140625" style="121" customWidth="1"/>
    <col min="11317" max="11317" width="1.5703125" style="121" customWidth="1"/>
    <col min="11318" max="11318" width="1.140625" style="121" customWidth="1"/>
    <col min="11319" max="11319" width="1" style="121" customWidth="1"/>
    <col min="11320" max="11320" width="5" style="121" customWidth="1"/>
    <col min="11321" max="11321" width="2.28515625" style="121" customWidth="1"/>
    <col min="11322" max="11322" width="1.42578125" style="121" customWidth="1"/>
    <col min="11323" max="11325" width="2.140625" style="121" customWidth="1"/>
    <col min="11326" max="11326" width="3.28515625" style="121" customWidth="1"/>
    <col min="11327" max="11327" width="2.42578125" style="121" customWidth="1"/>
    <col min="11328" max="11328" width="2.140625" style="121" customWidth="1"/>
    <col min="11329" max="11329" width="2.7109375" style="121" customWidth="1"/>
    <col min="11330" max="11333" width="2.140625" style="121" customWidth="1"/>
    <col min="11334" max="11334" width="1.7109375" style="121" customWidth="1"/>
    <col min="11335" max="11450" width="2.140625" style="121" customWidth="1"/>
    <col min="11451" max="11519" width="11.42578125" style="121"/>
    <col min="11520" max="11520" width="2.28515625" style="121" customWidth="1"/>
    <col min="11521" max="11521" width="23.5703125" style="121" customWidth="1"/>
    <col min="11522" max="11522" width="2.42578125" style="121" customWidth="1"/>
    <col min="11523" max="11523" width="1.7109375" style="121" customWidth="1"/>
    <col min="11524" max="11524" width="2.7109375" style="121" customWidth="1"/>
    <col min="11525" max="11525" width="7" style="121" customWidth="1"/>
    <col min="11526" max="11526" width="1.28515625" style="121" customWidth="1"/>
    <col min="11527" max="11527" width="0.7109375" style="121" customWidth="1"/>
    <col min="11528" max="11532" width="2.140625" style="121" customWidth="1"/>
    <col min="11533" max="11534" width="1.7109375" style="121" customWidth="1"/>
    <col min="11535" max="11544" width="2.140625" style="121" customWidth="1"/>
    <col min="11545" max="11545" width="6.5703125" style="121" customWidth="1"/>
    <col min="11546" max="11546" width="1.28515625" style="121" customWidth="1"/>
    <col min="11547" max="11547" width="3.7109375" style="121" customWidth="1"/>
    <col min="11548" max="11548" width="1.85546875" style="121" customWidth="1"/>
    <col min="11549" max="11552" width="2.140625" style="121" customWidth="1"/>
    <col min="11553" max="11554" width="6.42578125" style="121" customWidth="1"/>
    <col min="11555" max="11555" width="2.140625" style="121" customWidth="1"/>
    <col min="11556" max="11556" width="7.7109375" style="121" customWidth="1"/>
    <col min="11557" max="11557" width="5.5703125" style="121" customWidth="1"/>
    <col min="11558" max="11558" width="2.140625" style="121" customWidth="1"/>
    <col min="11559" max="11559" width="7" style="121" customWidth="1"/>
    <col min="11560" max="11560" width="6.5703125" style="121" customWidth="1"/>
    <col min="11561" max="11561" width="1.140625" style="121" customWidth="1"/>
    <col min="11562" max="11562" width="5.28515625" style="121" customWidth="1"/>
    <col min="11563" max="11563" width="5.42578125" style="121" customWidth="1"/>
    <col min="11564" max="11564" width="2" style="121" customWidth="1"/>
    <col min="11565" max="11567" width="2.140625" style="121" customWidth="1"/>
    <col min="11568" max="11568" width="2.28515625" style="121" customWidth="1"/>
    <col min="11569" max="11569" width="0.85546875" style="121" customWidth="1"/>
    <col min="11570" max="11570" width="2" style="121" customWidth="1"/>
    <col min="11571" max="11571" width="0" style="121" hidden="1" customWidth="1"/>
    <col min="11572" max="11572" width="2.140625" style="121" customWidth="1"/>
    <col min="11573" max="11573" width="1.5703125" style="121" customWidth="1"/>
    <col min="11574" max="11574" width="1.140625" style="121" customWidth="1"/>
    <col min="11575" max="11575" width="1" style="121" customWidth="1"/>
    <col min="11576" max="11576" width="5" style="121" customWidth="1"/>
    <col min="11577" max="11577" width="2.28515625" style="121" customWidth="1"/>
    <col min="11578" max="11578" width="1.42578125" style="121" customWidth="1"/>
    <col min="11579" max="11581" width="2.140625" style="121" customWidth="1"/>
    <col min="11582" max="11582" width="3.28515625" style="121" customWidth="1"/>
    <col min="11583" max="11583" width="2.42578125" style="121" customWidth="1"/>
    <col min="11584" max="11584" width="2.140625" style="121" customWidth="1"/>
    <col min="11585" max="11585" width="2.7109375" style="121" customWidth="1"/>
    <col min="11586" max="11589" width="2.140625" style="121" customWidth="1"/>
    <col min="11590" max="11590" width="1.7109375" style="121" customWidth="1"/>
    <col min="11591" max="11706" width="2.140625" style="121" customWidth="1"/>
    <col min="11707" max="11775" width="11.42578125" style="121"/>
    <col min="11776" max="11776" width="2.28515625" style="121" customWidth="1"/>
    <col min="11777" max="11777" width="23.5703125" style="121" customWidth="1"/>
    <col min="11778" max="11778" width="2.42578125" style="121" customWidth="1"/>
    <col min="11779" max="11779" width="1.7109375" style="121" customWidth="1"/>
    <col min="11780" max="11780" width="2.7109375" style="121" customWidth="1"/>
    <col min="11781" max="11781" width="7" style="121" customWidth="1"/>
    <col min="11782" max="11782" width="1.28515625" style="121" customWidth="1"/>
    <col min="11783" max="11783" width="0.7109375" style="121" customWidth="1"/>
    <col min="11784" max="11788" width="2.140625" style="121" customWidth="1"/>
    <col min="11789" max="11790" width="1.7109375" style="121" customWidth="1"/>
    <col min="11791" max="11800" width="2.140625" style="121" customWidth="1"/>
    <col min="11801" max="11801" width="6.5703125" style="121" customWidth="1"/>
    <col min="11802" max="11802" width="1.28515625" style="121" customWidth="1"/>
    <col min="11803" max="11803" width="3.7109375" style="121" customWidth="1"/>
    <col min="11804" max="11804" width="1.85546875" style="121" customWidth="1"/>
    <col min="11805" max="11808" width="2.140625" style="121" customWidth="1"/>
    <col min="11809" max="11810" width="6.42578125" style="121" customWidth="1"/>
    <col min="11811" max="11811" width="2.140625" style="121" customWidth="1"/>
    <col min="11812" max="11812" width="7.7109375" style="121" customWidth="1"/>
    <col min="11813" max="11813" width="5.5703125" style="121" customWidth="1"/>
    <col min="11814" max="11814" width="2.140625" style="121" customWidth="1"/>
    <col min="11815" max="11815" width="7" style="121" customWidth="1"/>
    <col min="11816" max="11816" width="6.5703125" style="121" customWidth="1"/>
    <col min="11817" max="11817" width="1.140625" style="121" customWidth="1"/>
    <col min="11818" max="11818" width="5.28515625" style="121" customWidth="1"/>
    <col min="11819" max="11819" width="5.42578125" style="121" customWidth="1"/>
    <col min="11820" max="11820" width="2" style="121" customWidth="1"/>
    <col min="11821" max="11823" width="2.140625" style="121" customWidth="1"/>
    <col min="11824" max="11824" width="2.28515625" style="121" customWidth="1"/>
    <col min="11825" max="11825" width="0.85546875" style="121" customWidth="1"/>
    <col min="11826" max="11826" width="2" style="121" customWidth="1"/>
    <col min="11827" max="11827" width="0" style="121" hidden="1" customWidth="1"/>
    <col min="11828" max="11828" width="2.140625" style="121" customWidth="1"/>
    <col min="11829" max="11829" width="1.5703125" style="121" customWidth="1"/>
    <col min="11830" max="11830" width="1.140625" style="121" customWidth="1"/>
    <col min="11831" max="11831" width="1" style="121" customWidth="1"/>
    <col min="11832" max="11832" width="5" style="121" customWidth="1"/>
    <col min="11833" max="11833" width="2.28515625" style="121" customWidth="1"/>
    <col min="11834" max="11834" width="1.42578125" style="121" customWidth="1"/>
    <col min="11835" max="11837" width="2.140625" style="121" customWidth="1"/>
    <col min="11838" max="11838" width="3.28515625" style="121" customWidth="1"/>
    <col min="11839" max="11839" width="2.42578125" style="121" customWidth="1"/>
    <col min="11840" max="11840" width="2.140625" style="121" customWidth="1"/>
    <col min="11841" max="11841" width="2.7109375" style="121" customWidth="1"/>
    <col min="11842" max="11845" width="2.140625" style="121" customWidth="1"/>
    <col min="11846" max="11846" width="1.7109375" style="121" customWidth="1"/>
    <col min="11847" max="11962" width="2.140625" style="121" customWidth="1"/>
    <col min="11963" max="12031" width="11.42578125" style="121"/>
    <col min="12032" max="12032" width="2.28515625" style="121" customWidth="1"/>
    <col min="12033" max="12033" width="23.5703125" style="121" customWidth="1"/>
    <col min="12034" max="12034" width="2.42578125" style="121" customWidth="1"/>
    <col min="12035" max="12035" width="1.7109375" style="121" customWidth="1"/>
    <col min="12036" max="12036" width="2.7109375" style="121" customWidth="1"/>
    <col min="12037" max="12037" width="7" style="121" customWidth="1"/>
    <col min="12038" max="12038" width="1.28515625" style="121" customWidth="1"/>
    <col min="12039" max="12039" width="0.7109375" style="121" customWidth="1"/>
    <col min="12040" max="12044" width="2.140625" style="121" customWidth="1"/>
    <col min="12045" max="12046" width="1.7109375" style="121" customWidth="1"/>
    <col min="12047" max="12056" width="2.140625" style="121" customWidth="1"/>
    <col min="12057" max="12057" width="6.5703125" style="121" customWidth="1"/>
    <col min="12058" max="12058" width="1.28515625" style="121" customWidth="1"/>
    <col min="12059" max="12059" width="3.7109375" style="121" customWidth="1"/>
    <col min="12060" max="12060" width="1.85546875" style="121" customWidth="1"/>
    <col min="12061" max="12064" width="2.140625" style="121" customWidth="1"/>
    <col min="12065" max="12066" width="6.42578125" style="121" customWidth="1"/>
    <col min="12067" max="12067" width="2.140625" style="121" customWidth="1"/>
    <col min="12068" max="12068" width="7.7109375" style="121" customWidth="1"/>
    <col min="12069" max="12069" width="5.5703125" style="121" customWidth="1"/>
    <col min="12070" max="12070" width="2.140625" style="121" customWidth="1"/>
    <col min="12071" max="12071" width="7" style="121" customWidth="1"/>
    <col min="12072" max="12072" width="6.5703125" style="121" customWidth="1"/>
    <col min="12073" max="12073" width="1.140625" style="121" customWidth="1"/>
    <col min="12074" max="12074" width="5.28515625" style="121" customWidth="1"/>
    <col min="12075" max="12075" width="5.42578125" style="121" customWidth="1"/>
    <col min="12076" max="12076" width="2" style="121" customWidth="1"/>
    <col min="12077" max="12079" width="2.140625" style="121" customWidth="1"/>
    <col min="12080" max="12080" width="2.28515625" style="121" customWidth="1"/>
    <col min="12081" max="12081" width="0.85546875" style="121" customWidth="1"/>
    <col min="12082" max="12082" width="2" style="121" customWidth="1"/>
    <col min="12083" max="12083" width="0" style="121" hidden="1" customWidth="1"/>
    <col min="12084" max="12084" width="2.140625" style="121" customWidth="1"/>
    <col min="12085" max="12085" width="1.5703125" style="121" customWidth="1"/>
    <col min="12086" max="12086" width="1.140625" style="121" customWidth="1"/>
    <col min="12087" max="12087" width="1" style="121" customWidth="1"/>
    <col min="12088" max="12088" width="5" style="121" customWidth="1"/>
    <col min="12089" max="12089" width="2.28515625" style="121" customWidth="1"/>
    <col min="12090" max="12090" width="1.42578125" style="121" customWidth="1"/>
    <col min="12091" max="12093" width="2.140625" style="121" customWidth="1"/>
    <col min="12094" max="12094" width="3.28515625" style="121" customWidth="1"/>
    <col min="12095" max="12095" width="2.42578125" style="121" customWidth="1"/>
    <col min="12096" max="12096" width="2.140625" style="121" customWidth="1"/>
    <col min="12097" max="12097" width="2.7109375" style="121" customWidth="1"/>
    <col min="12098" max="12101" width="2.140625" style="121" customWidth="1"/>
    <col min="12102" max="12102" width="1.7109375" style="121" customWidth="1"/>
    <col min="12103" max="12218" width="2.140625" style="121" customWidth="1"/>
    <col min="12219" max="12287" width="11.42578125" style="121"/>
    <col min="12288" max="12288" width="2.28515625" style="121" customWidth="1"/>
    <col min="12289" max="12289" width="23.5703125" style="121" customWidth="1"/>
    <col min="12290" max="12290" width="2.42578125" style="121" customWidth="1"/>
    <col min="12291" max="12291" width="1.7109375" style="121" customWidth="1"/>
    <col min="12292" max="12292" width="2.7109375" style="121" customWidth="1"/>
    <col min="12293" max="12293" width="7" style="121" customWidth="1"/>
    <col min="12294" max="12294" width="1.28515625" style="121" customWidth="1"/>
    <col min="12295" max="12295" width="0.7109375" style="121" customWidth="1"/>
    <col min="12296" max="12300" width="2.140625" style="121" customWidth="1"/>
    <col min="12301" max="12302" width="1.7109375" style="121" customWidth="1"/>
    <col min="12303" max="12312" width="2.140625" style="121" customWidth="1"/>
    <col min="12313" max="12313" width="6.5703125" style="121" customWidth="1"/>
    <col min="12314" max="12314" width="1.28515625" style="121" customWidth="1"/>
    <col min="12315" max="12315" width="3.7109375" style="121" customWidth="1"/>
    <col min="12316" max="12316" width="1.85546875" style="121" customWidth="1"/>
    <col min="12317" max="12320" width="2.140625" style="121" customWidth="1"/>
    <col min="12321" max="12322" width="6.42578125" style="121" customWidth="1"/>
    <col min="12323" max="12323" width="2.140625" style="121" customWidth="1"/>
    <col min="12324" max="12324" width="7.7109375" style="121" customWidth="1"/>
    <col min="12325" max="12325" width="5.5703125" style="121" customWidth="1"/>
    <col min="12326" max="12326" width="2.140625" style="121" customWidth="1"/>
    <col min="12327" max="12327" width="7" style="121" customWidth="1"/>
    <col min="12328" max="12328" width="6.5703125" style="121" customWidth="1"/>
    <col min="12329" max="12329" width="1.140625" style="121" customWidth="1"/>
    <col min="12330" max="12330" width="5.28515625" style="121" customWidth="1"/>
    <col min="12331" max="12331" width="5.42578125" style="121" customWidth="1"/>
    <col min="12332" max="12332" width="2" style="121" customWidth="1"/>
    <col min="12333" max="12335" width="2.140625" style="121" customWidth="1"/>
    <col min="12336" max="12336" width="2.28515625" style="121" customWidth="1"/>
    <col min="12337" max="12337" width="0.85546875" style="121" customWidth="1"/>
    <col min="12338" max="12338" width="2" style="121" customWidth="1"/>
    <col min="12339" max="12339" width="0" style="121" hidden="1" customWidth="1"/>
    <col min="12340" max="12340" width="2.140625" style="121" customWidth="1"/>
    <col min="12341" max="12341" width="1.5703125" style="121" customWidth="1"/>
    <col min="12342" max="12342" width="1.140625" style="121" customWidth="1"/>
    <col min="12343" max="12343" width="1" style="121" customWidth="1"/>
    <col min="12344" max="12344" width="5" style="121" customWidth="1"/>
    <col min="12345" max="12345" width="2.28515625" style="121" customWidth="1"/>
    <col min="12346" max="12346" width="1.42578125" style="121" customWidth="1"/>
    <col min="12347" max="12349" width="2.140625" style="121" customWidth="1"/>
    <col min="12350" max="12350" width="3.28515625" style="121" customWidth="1"/>
    <col min="12351" max="12351" width="2.42578125" style="121" customWidth="1"/>
    <col min="12352" max="12352" width="2.140625" style="121" customWidth="1"/>
    <col min="12353" max="12353" width="2.7109375" style="121" customWidth="1"/>
    <col min="12354" max="12357" width="2.140625" style="121" customWidth="1"/>
    <col min="12358" max="12358" width="1.7109375" style="121" customWidth="1"/>
    <col min="12359" max="12474" width="2.140625" style="121" customWidth="1"/>
    <col min="12475" max="12543" width="11.42578125" style="121"/>
    <col min="12544" max="12544" width="2.28515625" style="121" customWidth="1"/>
    <col min="12545" max="12545" width="23.5703125" style="121" customWidth="1"/>
    <col min="12546" max="12546" width="2.42578125" style="121" customWidth="1"/>
    <col min="12547" max="12547" width="1.7109375" style="121" customWidth="1"/>
    <col min="12548" max="12548" width="2.7109375" style="121" customWidth="1"/>
    <col min="12549" max="12549" width="7" style="121" customWidth="1"/>
    <col min="12550" max="12550" width="1.28515625" style="121" customWidth="1"/>
    <col min="12551" max="12551" width="0.7109375" style="121" customWidth="1"/>
    <col min="12552" max="12556" width="2.140625" style="121" customWidth="1"/>
    <col min="12557" max="12558" width="1.7109375" style="121" customWidth="1"/>
    <col min="12559" max="12568" width="2.140625" style="121" customWidth="1"/>
    <col min="12569" max="12569" width="6.5703125" style="121" customWidth="1"/>
    <col min="12570" max="12570" width="1.28515625" style="121" customWidth="1"/>
    <col min="12571" max="12571" width="3.7109375" style="121" customWidth="1"/>
    <col min="12572" max="12572" width="1.85546875" style="121" customWidth="1"/>
    <col min="12573" max="12576" width="2.140625" style="121" customWidth="1"/>
    <col min="12577" max="12578" width="6.42578125" style="121" customWidth="1"/>
    <col min="12579" max="12579" width="2.140625" style="121" customWidth="1"/>
    <col min="12580" max="12580" width="7.7109375" style="121" customWidth="1"/>
    <col min="12581" max="12581" width="5.5703125" style="121" customWidth="1"/>
    <col min="12582" max="12582" width="2.140625" style="121" customWidth="1"/>
    <col min="12583" max="12583" width="7" style="121" customWidth="1"/>
    <col min="12584" max="12584" width="6.5703125" style="121" customWidth="1"/>
    <col min="12585" max="12585" width="1.140625" style="121" customWidth="1"/>
    <col min="12586" max="12586" width="5.28515625" style="121" customWidth="1"/>
    <col min="12587" max="12587" width="5.42578125" style="121" customWidth="1"/>
    <col min="12588" max="12588" width="2" style="121" customWidth="1"/>
    <col min="12589" max="12591" width="2.140625" style="121" customWidth="1"/>
    <col min="12592" max="12592" width="2.28515625" style="121" customWidth="1"/>
    <col min="12593" max="12593" width="0.85546875" style="121" customWidth="1"/>
    <col min="12594" max="12594" width="2" style="121" customWidth="1"/>
    <col min="12595" max="12595" width="0" style="121" hidden="1" customWidth="1"/>
    <col min="12596" max="12596" width="2.140625" style="121" customWidth="1"/>
    <col min="12597" max="12597" width="1.5703125" style="121" customWidth="1"/>
    <col min="12598" max="12598" width="1.140625" style="121" customWidth="1"/>
    <col min="12599" max="12599" width="1" style="121" customWidth="1"/>
    <col min="12600" max="12600" width="5" style="121" customWidth="1"/>
    <col min="12601" max="12601" width="2.28515625" style="121" customWidth="1"/>
    <col min="12602" max="12602" width="1.42578125" style="121" customWidth="1"/>
    <col min="12603" max="12605" width="2.140625" style="121" customWidth="1"/>
    <col min="12606" max="12606" width="3.28515625" style="121" customWidth="1"/>
    <col min="12607" max="12607" width="2.42578125" style="121" customWidth="1"/>
    <col min="12608" max="12608" width="2.140625" style="121" customWidth="1"/>
    <col min="12609" max="12609" width="2.7109375" style="121" customWidth="1"/>
    <col min="12610" max="12613" width="2.140625" style="121" customWidth="1"/>
    <col min="12614" max="12614" width="1.7109375" style="121" customWidth="1"/>
    <col min="12615" max="12730" width="2.140625" style="121" customWidth="1"/>
    <col min="12731" max="12799" width="11.42578125" style="121"/>
    <col min="12800" max="12800" width="2.28515625" style="121" customWidth="1"/>
    <col min="12801" max="12801" width="23.5703125" style="121" customWidth="1"/>
    <col min="12802" max="12802" width="2.42578125" style="121" customWidth="1"/>
    <col min="12803" max="12803" width="1.7109375" style="121" customWidth="1"/>
    <col min="12804" max="12804" width="2.7109375" style="121" customWidth="1"/>
    <col min="12805" max="12805" width="7" style="121" customWidth="1"/>
    <col min="12806" max="12806" width="1.28515625" style="121" customWidth="1"/>
    <col min="12807" max="12807" width="0.7109375" style="121" customWidth="1"/>
    <col min="12808" max="12812" width="2.140625" style="121" customWidth="1"/>
    <col min="12813" max="12814" width="1.7109375" style="121" customWidth="1"/>
    <col min="12815" max="12824" width="2.140625" style="121" customWidth="1"/>
    <col min="12825" max="12825" width="6.5703125" style="121" customWidth="1"/>
    <col min="12826" max="12826" width="1.28515625" style="121" customWidth="1"/>
    <col min="12827" max="12827" width="3.7109375" style="121" customWidth="1"/>
    <col min="12828" max="12828" width="1.85546875" style="121" customWidth="1"/>
    <col min="12829" max="12832" width="2.140625" style="121" customWidth="1"/>
    <col min="12833" max="12834" width="6.42578125" style="121" customWidth="1"/>
    <col min="12835" max="12835" width="2.140625" style="121" customWidth="1"/>
    <col min="12836" max="12836" width="7.7109375" style="121" customWidth="1"/>
    <col min="12837" max="12837" width="5.5703125" style="121" customWidth="1"/>
    <col min="12838" max="12838" width="2.140625" style="121" customWidth="1"/>
    <col min="12839" max="12839" width="7" style="121" customWidth="1"/>
    <col min="12840" max="12840" width="6.5703125" style="121" customWidth="1"/>
    <col min="12841" max="12841" width="1.140625" style="121" customWidth="1"/>
    <col min="12842" max="12842" width="5.28515625" style="121" customWidth="1"/>
    <col min="12843" max="12843" width="5.42578125" style="121" customWidth="1"/>
    <col min="12844" max="12844" width="2" style="121" customWidth="1"/>
    <col min="12845" max="12847" width="2.140625" style="121" customWidth="1"/>
    <col min="12848" max="12848" width="2.28515625" style="121" customWidth="1"/>
    <col min="12849" max="12849" width="0.85546875" style="121" customWidth="1"/>
    <col min="12850" max="12850" width="2" style="121" customWidth="1"/>
    <col min="12851" max="12851" width="0" style="121" hidden="1" customWidth="1"/>
    <col min="12852" max="12852" width="2.140625" style="121" customWidth="1"/>
    <col min="12853" max="12853" width="1.5703125" style="121" customWidth="1"/>
    <col min="12854" max="12854" width="1.140625" style="121" customWidth="1"/>
    <col min="12855" max="12855" width="1" style="121" customWidth="1"/>
    <col min="12856" max="12856" width="5" style="121" customWidth="1"/>
    <col min="12857" max="12857" width="2.28515625" style="121" customWidth="1"/>
    <col min="12858" max="12858" width="1.42578125" style="121" customWidth="1"/>
    <col min="12859" max="12861" width="2.140625" style="121" customWidth="1"/>
    <col min="12862" max="12862" width="3.28515625" style="121" customWidth="1"/>
    <col min="12863" max="12863" width="2.42578125" style="121" customWidth="1"/>
    <col min="12864" max="12864" width="2.140625" style="121" customWidth="1"/>
    <col min="12865" max="12865" width="2.7109375" style="121" customWidth="1"/>
    <col min="12866" max="12869" width="2.140625" style="121" customWidth="1"/>
    <col min="12870" max="12870" width="1.7109375" style="121" customWidth="1"/>
    <col min="12871" max="12986" width="2.140625" style="121" customWidth="1"/>
    <col min="12987" max="13055" width="11.42578125" style="121"/>
    <col min="13056" max="13056" width="2.28515625" style="121" customWidth="1"/>
    <col min="13057" max="13057" width="23.5703125" style="121" customWidth="1"/>
    <col min="13058" max="13058" width="2.42578125" style="121" customWidth="1"/>
    <col min="13059" max="13059" width="1.7109375" style="121" customWidth="1"/>
    <col min="13060" max="13060" width="2.7109375" style="121" customWidth="1"/>
    <col min="13061" max="13061" width="7" style="121" customWidth="1"/>
    <col min="13062" max="13062" width="1.28515625" style="121" customWidth="1"/>
    <col min="13063" max="13063" width="0.7109375" style="121" customWidth="1"/>
    <col min="13064" max="13068" width="2.140625" style="121" customWidth="1"/>
    <col min="13069" max="13070" width="1.7109375" style="121" customWidth="1"/>
    <col min="13071" max="13080" width="2.140625" style="121" customWidth="1"/>
    <col min="13081" max="13081" width="6.5703125" style="121" customWidth="1"/>
    <col min="13082" max="13082" width="1.28515625" style="121" customWidth="1"/>
    <col min="13083" max="13083" width="3.7109375" style="121" customWidth="1"/>
    <col min="13084" max="13084" width="1.85546875" style="121" customWidth="1"/>
    <col min="13085" max="13088" width="2.140625" style="121" customWidth="1"/>
    <col min="13089" max="13090" width="6.42578125" style="121" customWidth="1"/>
    <col min="13091" max="13091" width="2.140625" style="121" customWidth="1"/>
    <col min="13092" max="13092" width="7.7109375" style="121" customWidth="1"/>
    <col min="13093" max="13093" width="5.5703125" style="121" customWidth="1"/>
    <col min="13094" max="13094" width="2.140625" style="121" customWidth="1"/>
    <col min="13095" max="13095" width="7" style="121" customWidth="1"/>
    <col min="13096" max="13096" width="6.5703125" style="121" customWidth="1"/>
    <col min="13097" max="13097" width="1.140625" style="121" customWidth="1"/>
    <col min="13098" max="13098" width="5.28515625" style="121" customWidth="1"/>
    <col min="13099" max="13099" width="5.42578125" style="121" customWidth="1"/>
    <col min="13100" max="13100" width="2" style="121" customWidth="1"/>
    <col min="13101" max="13103" width="2.140625" style="121" customWidth="1"/>
    <col min="13104" max="13104" width="2.28515625" style="121" customWidth="1"/>
    <col min="13105" max="13105" width="0.85546875" style="121" customWidth="1"/>
    <col min="13106" max="13106" width="2" style="121" customWidth="1"/>
    <col min="13107" max="13107" width="0" style="121" hidden="1" customWidth="1"/>
    <col min="13108" max="13108" width="2.140625" style="121" customWidth="1"/>
    <col min="13109" max="13109" width="1.5703125" style="121" customWidth="1"/>
    <col min="13110" max="13110" width="1.140625" style="121" customWidth="1"/>
    <col min="13111" max="13111" width="1" style="121" customWidth="1"/>
    <col min="13112" max="13112" width="5" style="121" customWidth="1"/>
    <col min="13113" max="13113" width="2.28515625" style="121" customWidth="1"/>
    <col min="13114" max="13114" width="1.42578125" style="121" customWidth="1"/>
    <col min="13115" max="13117" width="2.140625" style="121" customWidth="1"/>
    <col min="13118" max="13118" width="3.28515625" style="121" customWidth="1"/>
    <col min="13119" max="13119" width="2.42578125" style="121" customWidth="1"/>
    <col min="13120" max="13120" width="2.140625" style="121" customWidth="1"/>
    <col min="13121" max="13121" width="2.7109375" style="121" customWidth="1"/>
    <col min="13122" max="13125" width="2.140625" style="121" customWidth="1"/>
    <col min="13126" max="13126" width="1.7109375" style="121" customWidth="1"/>
    <col min="13127" max="13242" width="2.140625" style="121" customWidth="1"/>
    <col min="13243" max="13311" width="11.42578125" style="121"/>
    <col min="13312" max="13312" width="2.28515625" style="121" customWidth="1"/>
    <col min="13313" max="13313" width="23.5703125" style="121" customWidth="1"/>
    <col min="13314" max="13314" width="2.42578125" style="121" customWidth="1"/>
    <col min="13315" max="13315" width="1.7109375" style="121" customWidth="1"/>
    <col min="13316" max="13316" width="2.7109375" style="121" customWidth="1"/>
    <col min="13317" max="13317" width="7" style="121" customWidth="1"/>
    <col min="13318" max="13318" width="1.28515625" style="121" customWidth="1"/>
    <col min="13319" max="13319" width="0.7109375" style="121" customWidth="1"/>
    <col min="13320" max="13324" width="2.140625" style="121" customWidth="1"/>
    <col min="13325" max="13326" width="1.7109375" style="121" customWidth="1"/>
    <col min="13327" max="13336" width="2.140625" style="121" customWidth="1"/>
    <col min="13337" max="13337" width="6.5703125" style="121" customWidth="1"/>
    <col min="13338" max="13338" width="1.28515625" style="121" customWidth="1"/>
    <col min="13339" max="13339" width="3.7109375" style="121" customWidth="1"/>
    <col min="13340" max="13340" width="1.85546875" style="121" customWidth="1"/>
    <col min="13341" max="13344" width="2.140625" style="121" customWidth="1"/>
    <col min="13345" max="13346" width="6.42578125" style="121" customWidth="1"/>
    <col min="13347" max="13347" width="2.140625" style="121" customWidth="1"/>
    <col min="13348" max="13348" width="7.7109375" style="121" customWidth="1"/>
    <col min="13349" max="13349" width="5.5703125" style="121" customWidth="1"/>
    <col min="13350" max="13350" width="2.140625" style="121" customWidth="1"/>
    <col min="13351" max="13351" width="7" style="121" customWidth="1"/>
    <col min="13352" max="13352" width="6.5703125" style="121" customWidth="1"/>
    <col min="13353" max="13353" width="1.140625" style="121" customWidth="1"/>
    <col min="13354" max="13354" width="5.28515625" style="121" customWidth="1"/>
    <col min="13355" max="13355" width="5.42578125" style="121" customWidth="1"/>
    <col min="13356" max="13356" width="2" style="121" customWidth="1"/>
    <col min="13357" max="13359" width="2.140625" style="121" customWidth="1"/>
    <col min="13360" max="13360" width="2.28515625" style="121" customWidth="1"/>
    <col min="13361" max="13361" width="0.85546875" style="121" customWidth="1"/>
    <col min="13362" max="13362" width="2" style="121" customWidth="1"/>
    <col min="13363" max="13363" width="0" style="121" hidden="1" customWidth="1"/>
    <col min="13364" max="13364" width="2.140625" style="121" customWidth="1"/>
    <col min="13365" max="13365" width="1.5703125" style="121" customWidth="1"/>
    <col min="13366" max="13366" width="1.140625" style="121" customWidth="1"/>
    <col min="13367" max="13367" width="1" style="121" customWidth="1"/>
    <col min="13368" max="13368" width="5" style="121" customWidth="1"/>
    <col min="13369" max="13369" width="2.28515625" style="121" customWidth="1"/>
    <col min="13370" max="13370" width="1.42578125" style="121" customWidth="1"/>
    <col min="13371" max="13373" width="2.140625" style="121" customWidth="1"/>
    <col min="13374" max="13374" width="3.28515625" style="121" customWidth="1"/>
    <col min="13375" max="13375" width="2.42578125" style="121" customWidth="1"/>
    <col min="13376" max="13376" width="2.140625" style="121" customWidth="1"/>
    <col min="13377" max="13377" width="2.7109375" style="121" customWidth="1"/>
    <col min="13378" max="13381" width="2.140625" style="121" customWidth="1"/>
    <col min="13382" max="13382" width="1.7109375" style="121" customWidth="1"/>
    <col min="13383" max="13498" width="2.140625" style="121" customWidth="1"/>
    <col min="13499" max="13567" width="11.42578125" style="121"/>
    <col min="13568" max="13568" width="2.28515625" style="121" customWidth="1"/>
    <col min="13569" max="13569" width="23.5703125" style="121" customWidth="1"/>
    <col min="13570" max="13570" width="2.42578125" style="121" customWidth="1"/>
    <col min="13571" max="13571" width="1.7109375" style="121" customWidth="1"/>
    <col min="13572" max="13572" width="2.7109375" style="121" customWidth="1"/>
    <col min="13573" max="13573" width="7" style="121" customWidth="1"/>
    <col min="13574" max="13574" width="1.28515625" style="121" customWidth="1"/>
    <col min="13575" max="13575" width="0.7109375" style="121" customWidth="1"/>
    <col min="13576" max="13580" width="2.140625" style="121" customWidth="1"/>
    <col min="13581" max="13582" width="1.7109375" style="121" customWidth="1"/>
    <col min="13583" max="13592" width="2.140625" style="121" customWidth="1"/>
    <col min="13593" max="13593" width="6.5703125" style="121" customWidth="1"/>
    <col min="13594" max="13594" width="1.28515625" style="121" customWidth="1"/>
    <col min="13595" max="13595" width="3.7109375" style="121" customWidth="1"/>
    <col min="13596" max="13596" width="1.85546875" style="121" customWidth="1"/>
    <col min="13597" max="13600" width="2.140625" style="121" customWidth="1"/>
    <col min="13601" max="13602" width="6.42578125" style="121" customWidth="1"/>
    <col min="13603" max="13603" width="2.140625" style="121" customWidth="1"/>
    <col min="13604" max="13604" width="7.7109375" style="121" customWidth="1"/>
    <col min="13605" max="13605" width="5.5703125" style="121" customWidth="1"/>
    <col min="13606" max="13606" width="2.140625" style="121" customWidth="1"/>
    <col min="13607" max="13607" width="7" style="121" customWidth="1"/>
    <col min="13608" max="13608" width="6.5703125" style="121" customWidth="1"/>
    <col min="13609" max="13609" width="1.140625" style="121" customWidth="1"/>
    <col min="13610" max="13610" width="5.28515625" style="121" customWidth="1"/>
    <col min="13611" max="13611" width="5.42578125" style="121" customWidth="1"/>
    <col min="13612" max="13612" width="2" style="121" customWidth="1"/>
    <col min="13613" max="13615" width="2.140625" style="121" customWidth="1"/>
    <col min="13616" max="13616" width="2.28515625" style="121" customWidth="1"/>
    <col min="13617" max="13617" width="0.85546875" style="121" customWidth="1"/>
    <col min="13618" max="13618" width="2" style="121" customWidth="1"/>
    <col min="13619" max="13619" width="0" style="121" hidden="1" customWidth="1"/>
    <col min="13620" max="13620" width="2.140625" style="121" customWidth="1"/>
    <col min="13621" max="13621" width="1.5703125" style="121" customWidth="1"/>
    <col min="13622" max="13622" width="1.140625" style="121" customWidth="1"/>
    <col min="13623" max="13623" width="1" style="121" customWidth="1"/>
    <col min="13624" max="13624" width="5" style="121" customWidth="1"/>
    <col min="13625" max="13625" width="2.28515625" style="121" customWidth="1"/>
    <col min="13626" max="13626" width="1.42578125" style="121" customWidth="1"/>
    <col min="13627" max="13629" width="2.140625" style="121" customWidth="1"/>
    <col min="13630" max="13630" width="3.28515625" style="121" customWidth="1"/>
    <col min="13631" max="13631" width="2.42578125" style="121" customWidth="1"/>
    <col min="13632" max="13632" width="2.140625" style="121" customWidth="1"/>
    <col min="13633" max="13633" width="2.7109375" style="121" customWidth="1"/>
    <col min="13634" max="13637" width="2.140625" style="121" customWidth="1"/>
    <col min="13638" max="13638" width="1.7109375" style="121" customWidth="1"/>
    <col min="13639" max="13754" width="2.140625" style="121" customWidth="1"/>
    <col min="13755" max="13823" width="11.42578125" style="121"/>
    <col min="13824" max="13824" width="2.28515625" style="121" customWidth="1"/>
    <col min="13825" max="13825" width="23.5703125" style="121" customWidth="1"/>
    <col min="13826" max="13826" width="2.42578125" style="121" customWidth="1"/>
    <col min="13827" max="13827" width="1.7109375" style="121" customWidth="1"/>
    <col min="13828" max="13828" width="2.7109375" style="121" customWidth="1"/>
    <col min="13829" max="13829" width="7" style="121" customWidth="1"/>
    <col min="13830" max="13830" width="1.28515625" style="121" customWidth="1"/>
    <col min="13831" max="13831" width="0.7109375" style="121" customWidth="1"/>
    <col min="13832" max="13836" width="2.140625" style="121" customWidth="1"/>
    <col min="13837" max="13838" width="1.7109375" style="121" customWidth="1"/>
    <col min="13839" max="13848" width="2.140625" style="121" customWidth="1"/>
    <col min="13849" max="13849" width="6.5703125" style="121" customWidth="1"/>
    <col min="13850" max="13850" width="1.28515625" style="121" customWidth="1"/>
    <col min="13851" max="13851" width="3.7109375" style="121" customWidth="1"/>
    <col min="13852" max="13852" width="1.85546875" style="121" customWidth="1"/>
    <col min="13853" max="13856" width="2.140625" style="121" customWidth="1"/>
    <col min="13857" max="13858" width="6.42578125" style="121" customWidth="1"/>
    <col min="13859" max="13859" width="2.140625" style="121" customWidth="1"/>
    <col min="13860" max="13860" width="7.7109375" style="121" customWidth="1"/>
    <col min="13861" max="13861" width="5.5703125" style="121" customWidth="1"/>
    <col min="13862" max="13862" width="2.140625" style="121" customWidth="1"/>
    <col min="13863" max="13863" width="7" style="121" customWidth="1"/>
    <col min="13864" max="13864" width="6.5703125" style="121" customWidth="1"/>
    <col min="13865" max="13865" width="1.140625" style="121" customWidth="1"/>
    <col min="13866" max="13866" width="5.28515625" style="121" customWidth="1"/>
    <col min="13867" max="13867" width="5.42578125" style="121" customWidth="1"/>
    <col min="13868" max="13868" width="2" style="121" customWidth="1"/>
    <col min="13869" max="13871" width="2.140625" style="121" customWidth="1"/>
    <col min="13872" max="13872" width="2.28515625" style="121" customWidth="1"/>
    <col min="13873" max="13873" width="0.85546875" style="121" customWidth="1"/>
    <col min="13874" max="13874" width="2" style="121" customWidth="1"/>
    <col min="13875" max="13875" width="0" style="121" hidden="1" customWidth="1"/>
    <col min="13876" max="13876" width="2.140625" style="121" customWidth="1"/>
    <col min="13877" max="13877" width="1.5703125" style="121" customWidth="1"/>
    <col min="13878" max="13878" width="1.140625" style="121" customWidth="1"/>
    <col min="13879" max="13879" width="1" style="121" customWidth="1"/>
    <col min="13880" max="13880" width="5" style="121" customWidth="1"/>
    <col min="13881" max="13881" width="2.28515625" style="121" customWidth="1"/>
    <col min="13882" max="13882" width="1.42578125" style="121" customWidth="1"/>
    <col min="13883" max="13885" width="2.140625" style="121" customWidth="1"/>
    <col min="13886" max="13886" width="3.28515625" style="121" customWidth="1"/>
    <col min="13887" max="13887" width="2.42578125" style="121" customWidth="1"/>
    <col min="13888" max="13888" width="2.140625" style="121" customWidth="1"/>
    <col min="13889" max="13889" width="2.7109375" style="121" customWidth="1"/>
    <col min="13890" max="13893" width="2.140625" style="121" customWidth="1"/>
    <col min="13894" max="13894" width="1.7109375" style="121" customWidth="1"/>
    <col min="13895" max="14010" width="2.140625" style="121" customWidth="1"/>
    <col min="14011" max="14079" width="11.42578125" style="121"/>
    <col min="14080" max="14080" width="2.28515625" style="121" customWidth="1"/>
    <col min="14081" max="14081" width="23.5703125" style="121" customWidth="1"/>
    <col min="14082" max="14082" width="2.42578125" style="121" customWidth="1"/>
    <col min="14083" max="14083" width="1.7109375" style="121" customWidth="1"/>
    <col min="14084" max="14084" width="2.7109375" style="121" customWidth="1"/>
    <col min="14085" max="14085" width="7" style="121" customWidth="1"/>
    <col min="14086" max="14086" width="1.28515625" style="121" customWidth="1"/>
    <col min="14087" max="14087" width="0.7109375" style="121" customWidth="1"/>
    <col min="14088" max="14092" width="2.140625" style="121" customWidth="1"/>
    <col min="14093" max="14094" width="1.7109375" style="121" customWidth="1"/>
    <col min="14095" max="14104" width="2.140625" style="121" customWidth="1"/>
    <col min="14105" max="14105" width="6.5703125" style="121" customWidth="1"/>
    <col min="14106" max="14106" width="1.28515625" style="121" customWidth="1"/>
    <col min="14107" max="14107" width="3.7109375" style="121" customWidth="1"/>
    <col min="14108" max="14108" width="1.85546875" style="121" customWidth="1"/>
    <col min="14109" max="14112" width="2.140625" style="121" customWidth="1"/>
    <col min="14113" max="14114" width="6.42578125" style="121" customWidth="1"/>
    <col min="14115" max="14115" width="2.140625" style="121" customWidth="1"/>
    <col min="14116" max="14116" width="7.7109375" style="121" customWidth="1"/>
    <col min="14117" max="14117" width="5.5703125" style="121" customWidth="1"/>
    <col min="14118" max="14118" width="2.140625" style="121" customWidth="1"/>
    <col min="14119" max="14119" width="7" style="121" customWidth="1"/>
    <col min="14120" max="14120" width="6.5703125" style="121" customWidth="1"/>
    <col min="14121" max="14121" width="1.140625" style="121" customWidth="1"/>
    <col min="14122" max="14122" width="5.28515625" style="121" customWidth="1"/>
    <col min="14123" max="14123" width="5.42578125" style="121" customWidth="1"/>
    <col min="14124" max="14124" width="2" style="121" customWidth="1"/>
    <col min="14125" max="14127" width="2.140625" style="121" customWidth="1"/>
    <col min="14128" max="14128" width="2.28515625" style="121" customWidth="1"/>
    <col min="14129" max="14129" width="0.85546875" style="121" customWidth="1"/>
    <col min="14130" max="14130" width="2" style="121" customWidth="1"/>
    <col min="14131" max="14131" width="0" style="121" hidden="1" customWidth="1"/>
    <col min="14132" max="14132" width="2.140625" style="121" customWidth="1"/>
    <col min="14133" max="14133" width="1.5703125" style="121" customWidth="1"/>
    <col min="14134" max="14134" width="1.140625" style="121" customWidth="1"/>
    <col min="14135" max="14135" width="1" style="121" customWidth="1"/>
    <col min="14136" max="14136" width="5" style="121" customWidth="1"/>
    <col min="14137" max="14137" width="2.28515625" style="121" customWidth="1"/>
    <col min="14138" max="14138" width="1.42578125" style="121" customWidth="1"/>
    <col min="14139" max="14141" width="2.140625" style="121" customWidth="1"/>
    <col min="14142" max="14142" width="3.28515625" style="121" customWidth="1"/>
    <col min="14143" max="14143" width="2.42578125" style="121" customWidth="1"/>
    <col min="14144" max="14144" width="2.140625" style="121" customWidth="1"/>
    <col min="14145" max="14145" width="2.7109375" style="121" customWidth="1"/>
    <col min="14146" max="14149" width="2.140625" style="121" customWidth="1"/>
    <col min="14150" max="14150" width="1.7109375" style="121" customWidth="1"/>
    <col min="14151" max="14266" width="2.140625" style="121" customWidth="1"/>
    <col min="14267" max="14335" width="11.42578125" style="121"/>
    <col min="14336" max="14336" width="2.28515625" style="121" customWidth="1"/>
    <col min="14337" max="14337" width="23.5703125" style="121" customWidth="1"/>
    <col min="14338" max="14338" width="2.42578125" style="121" customWidth="1"/>
    <col min="14339" max="14339" width="1.7109375" style="121" customWidth="1"/>
    <col min="14340" max="14340" width="2.7109375" style="121" customWidth="1"/>
    <col min="14341" max="14341" width="7" style="121" customWidth="1"/>
    <col min="14342" max="14342" width="1.28515625" style="121" customWidth="1"/>
    <col min="14343" max="14343" width="0.7109375" style="121" customWidth="1"/>
    <col min="14344" max="14348" width="2.140625" style="121" customWidth="1"/>
    <col min="14349" max="14350" width="1.7109375" style="121" customWidth="1"/>
    <col min="14351" max="14360" width="2.140625" style="121" customWidth="1"/>
    <col min="14361" max="14361" width="6.5703125" style="121" customWidth="1"/>
    <col min="14362" max="14362" width="1.28515625" style="121" customWidth="1"/>
    <col min="14363" max="14363" width="3.7109375" style="121" customWidth="1"/>
    <col min="14364" max="14364" width="1.85546875" style="121" customWidth="1"/>
    <col min="14365" max="14368" width="2.140625" style="121" customWidth="1"/>
    <col min="14369" max="14370" width="6.42578125" style="121" customWidth="1"/>
    <col min="14371" max="14371" width="2.140625" style="121" customWidth="1"/>
    <col min="14372" max="14372" width="7.7109375" style="121" customWidth="1"/>
    <col min="14373" max="14373" width="5.5703125" style="121" customWidth="1"/>
    <col min="14374" max="14374" width="2.140625" style="121" customWidth="1"/>
    <col min="14375" max="14375" width="7" style="121" customWidth="1"/>
    <col min="14376" max="14376" width="6.5703125" style="121" customWidth="1"/>
    <col min="14377" max="14377" width="1.140625" style="121" customWidth="1"/>
    <col min="14378" max="14378" width="5.28515625" style="121" customWidth="1"/>
    <col min="14379" max="14379" width="5.42578125" style="121" customWidth="1"/>
    <col min="14380" max="14380" width="2" style="121" customWidth="1"/>
    <col min="14381" max="14383" width="2.140625" style="121" customWidth="1"/>
    <col min="14384" max="14384" width="2.28515625" style="121" customWidth="1"/>
    <col min="14385" max="14385" width="0.85546875" style="121" customWidth="1"/>
    <col min="14386" max="14386" width="2" style="121" customWidth="1"/>
    <col min="14387" max="14387" width="0" style="121" hidden="1" customWidth="1"/>
    <col min="14388" max="14388" width="2.140625" style="121" customWidth="1"/>
    <col min="14389" max="14389" width="1.5703125" style="121" customWidth="1"/>
    <col min="14390" max="14390" width="1.140625" style="121" customWidth="1"/>
    <col min="14391" max="14391" width="1" style="121" customWidth="1"/>
    <col min="14392" max="14392" width="5" style="121" customWidth="1"/>
    <col min="14393" max="14393" width="2.28515625" style="121" customWidth="1"/>
    <col min="14394" max="14394" width="1.42578125" style="121" customWidth="1"/>
    <col min="14395" max="14397" width="2.140625" style="121" customWidth="1"/>
    <col min="14398" max="14398" width="3.28515625" style="121" customWidth="1"/>
    <col min="14399" max="14399" width="2.42578125" style="121" customWidth="1"/>
    <col min="14400" max="14400" width="2.140625" style="121" customWidth="1"/>
    <col min="14401" max="14401" width="2.7109375" style="121" customWidth="1"/>
    <col min="14402" max="14405" width="2.140625" style="121" customWidth="1"/>
    <col min="14406" max="14406" width="1.7109375" style="121" customWidth="1"/>
    <col min="14407" max="14522" width="2.140625" style="121" customWidth="1"/>
    <col min="14523" max="14591" width="11.42578125" style="121"/>
    <col min="14592" max="14592" width="2.28515625" style="121" customWidth="1"/>
    <col min="14593" max="14593" width="23.5703125" style="121" customWidth="1"/>
    <col min="14594" max="14594" width="2.42578125" style="121" customWidth="1"/>
    <col min="14595" max="14595" width="1.7109375" style="121" customWidth="1"/>
    <col min="14596" max="14596" width="2.7109375" style="121" customWidth="1"/>
    <col min="14597" max="14597" width="7" style="121" customWidth="1"/>
    <col min="14598" max="14598" width="1.28515625" style="121" customWidth="1"/>
    <col min="14599" max="14599" width="0.7109375" style="121" customWidth="1"/>
    <col min="14600" max="14604" width="2.140625" style="121" customWidth="1"/>
    <col min="14605" max="14606" width="1.7109375" style="121" customWidth="1"/>
    <col min="14607" max="14616" width="2.140625" style="121" customWidth="1"/>
    <col min="14617" max="14617" width="6.5703125" style="121" customWidth="1"/>
    <col min="14618" max="14618" width="1.28515625" style="121" customWidth="1"/>
    <col min="14619" max="14619" width="3.7109375" style="121" customWidth="1"/>
    <col min="14620" max="14620" width="1.85546875" style="121" customWidth="1"/>
    <col min="14621" max="14624" width="2.140625" style="121" customWidth="1"/>
    <col min="14625" max="14626" width="6.42578125" style="121" customWidth="1"/>
    <col min="14627" max="14627" width="2.140625" style="121" customWidth="1"/>
    <col min="14628" max="14628" width="7.7109375" style="121" customWidth="1"/>
    <col min="14629" max="14629" width="5.5703125" style="121" customWidth="1"/>
    <col min="14630" max="14630" width="2.140625" style="121" customWidth="1"/>
    <col min="14631" max="14631" width="7" style="121" customWidth="1"/>
    <col min="14632" max="14632" width="6.5703125" style="121" customWidth="1"/>
    <col min="14633" max="14633" width="1.140625" style="121" customWidth="1"/>
    <col min="14634" max="14634" width="5.28515625" style="121" customWidth="1"/>
    <col min="14635" max="14635" width="5.42578125" style="121" customWidth="1"/>
    <col min="14636" max="14636" width="2" style="121" customWidth="1"/>
    <col min="14637" max="14639" width="2.140625" style="121" customWidth="1"/>
    <col min="14640" max="14640" width="2.28515625" style="121" customWidth="1"/>
    <col min="14641" max="14641" width="0.85546875" style="121" customWidth="1"/>
    <col min="14642" max="14642" width="2" style="121" customWidth="1"/>
    <col min="14643" max="14643" width="0" style="121" hidden="1" customWidth="1"/>
    <col min="14644" max="14644" width="2.140625" style="121" customWidth="1"/>
    <col min="14645" max="14645" width="1.5703125" style="121" customWidth="1"/>
    <col min="14646" max="14646" width="1.140625" style="121" customWidth="1"/>
    <col min="14647" max="14647" width="1" style="121" customWidth="1"/>
    <col min="14648" max="14648" width="5" style="121" customWidth="1"/>
    <col min="14649" max="14649" width="2.28515625" style="121" customWidth="1"/>
    <col min="14650" max="14650" width="1.42578125" style="121" customWidth="1"/>
    <col min="14651" max="14653" width="2.140625" style="121" customWidth="1"/>
    <col min="14654" max="14654" width="3.28515625" style="121" customWidth="1"/>
    <col min="14655" max="14655" width="2.42578125" style="121" customWidth="1"/>
    <col min="14656" max="14656" width="2.140625" style="121" customWidth="1"/>
    <col min="14657" max="14657" width="2.7109375" style="121" customWidth="1"/>
    <col min="14658" max="14661" width="2.140625" style="121" customWidth="1"/>
    <col min="14662" max="14662" width="1.7109375" style="121" customWidth="1"/>
    <col min="14663" max="14778" width="2.140625" style="121" customWidth="1"/>
    <col min="14779" max="14847" width="11.42578125" style="121"/>
    <col min="14848" max="14848" width="2.28515625" style="121" customWidth="1"/>
    <col min="14849" max="14849" width="23.5703125" style="121" customWidth="1"/>
    <col min="14850" max="14850" width="2.42578125" style="121" customWidth="1"/>
    <col min="14851" max="14851" width="1.7109375" style="121" customWidth="1"/>
    <col min="14852" max="14852" width="2.7109375" style="121" customWidth="1"/>
    <col min="14853" max="14853" width="7" style="121" customWidth="1"/>
    <col min="14854" max="14854" width="1.28515625" style="121" customWidth="1"/>
    <col min="14855" max="14855" width="0.7109375" style="121" customWidth="1"/>
    <col min="14856" max="14860" width="2.140625" style="121" customWidth="1"/>
    <col min="14861" max="14862" width="1.7109375" style="121" customWidth="1"/>
    <col min="14863" max="14872" width="2.140625" style="121" customWidth="1"/>
    <col min="14873" max="14873" width="6.5703125" style="121" customWidth="1"/>
    <col min="14874" max="14874" width="1.28515625" style="121" customWidth="1"/>
    <col min="14875" max="14875" width="3.7109375" style="121" customWidth="1"/>
    <col min="14876" max="14876" width="1.85546875" style="121" customWidth="1"/>
    <col min="14877" max="14880" width="2.140625" style="121" customWidth="1"/>
    <col min="14881" max="14882" width="6.42578125" style="121" customWidth="1"/>
    <col min="14883" max="14883" width="2.140625" style="121" customWidth="1"/>
    <col min="14884" max="14884" width="7.7109375" style="121" customWidth="1"/>
    <col min="14885" max="14885" width="5.5703125" style="121" customWidth="1"/>
    <col min="14886" max="14886" width="2.140625" style="121" customWidth="1"/>
    <col min="14887" max="14887" width="7" style="121" customWidth="1"/>
    <col min="14888" max="14888" width="6.5703125" style="121" customWidth="1"/>
    <col min="14889" max="14889" width="1.140625" style="121" customWidth="1"/>
    <col min="14890" max="14890" width="5.28515625" style="121" customWidth="1"/>
    <col min="14891" max="14891" width="5.42578125" style="121" customWidth="1"/>
    <col min="14892" max="14892" width="2" style="121" customWidth="1"/>
    <col min="14893" max="14895" width="2.140625" style="121" customWidth="1"/>
    <col min="14896" max="14896" width="2.28515625" style="121" customWidth="1"/>
    <col min="14897" max="14897" width="0.85546875" style="121" customWidth="1"/>
    <col min="14898" max="14898" width="2" style="121" customWidth="1"/>
    <col min="14899" max="14899" width="0" style="121" hidden="1" customWidth="1"/>
    <col min="14900" max="14900" width="2.140625" style="121" customWidth="1"/>
    <col min="14901" max="14901" width="1.5703125" style="121" customWidth="1"/>
    <col min="14902" max="14902" width="1.140625" style="121" customWidth="1"/>
    <col min="14903" max="14903" width="1" style="121" customWidth="1"/>
    <col min="14904" max="14904" width="5" style="121" customWidth="1"/>
    <col min="14905" max="14905" width="2.28515625" style="121" customWidth="1"/>
    <col min="14906" max="14906" width="1.42578125" style="121" customWidth="1"/>
    <col min="14907" max="14909" width="2.140625" style="121" customWidth="1"/>
    <col min="14910" max="14910" width="3.28515625" style="121" customWidth="1"/>
    <col min="14911" max="14911" width="2.42578125" style="121" customWidth="1"/>
    <col min="14912" max="14912" width="2.140625" style="121" customWidth="1"/>
    <col min="14913" max="14913" width="2.7109375" style="121" customWidth="1"/>
    <col min="14914" max="14917" width="2.140625" style="121" customWidth="1"/>
    <col min="14918" max="14918" width="1.7109375" style="121" customWidth="1"/>
    <col min="14919" max="15034" width="2.140625" style="121" customWidth="1"/>
    <col min="15035" max="15103" width="11.42578125" style="121"/>
    <col min="15104" max="15104" width="2.28515625" style="121" customWidth="1"/>
    <col min="15105" max="15105" width="23.5703125" style="121" customWidth="1"/>
    <col min="15106" max="15106" width="2.42578125" style="121" customWidth="1"/>
    <col min="15107" max="15107" width="1.7109375" style="121" customWidth="1"/>
    <col min="15108" max="15108" width="2.7109375" style="121" customWidth="1"/>
    <col min="15109" max="15109" width="7" style="121" customWidth="1"/>
    <col min="15110" max="15110" width="1.28515625" style="121" customWidth="1"/>
    <col min="15111" max="15111" width="0.7109375" style="121" customWidth="1"/>
    <col min="15112" max="15116" width="2.140625" style="121" customWidth="1"/>
    <col min="15117" max="15118" width="1.7109375" style="121" customWidth="1"/>
    <col min="15119" max="15128" width="2.140625" style="121" customWidth="1"/>
    <col min="15129" max="15129" width="6.5703125" style="121" customWidth="1"/>
    <col min="15130" max="15130" width="1.28515625" style="121" customWidth="1"/>
    <col min="15131" max="15131" width="3.7109375" style="121" customWidth="1"/>
    <col min="15132" max="15132" width="1.85546875" style="121" customWidth="1"/>
    <col min="15133" max="15136" width="2.140625" style="121" customWidth="1"/>
    <col min="15137" max="15138" width="6.42578125" style="121" customWidth="1"/>
    <col min="15139" max="15139" width="2.140625" style="121" customWidth="1"/>
    <col min="15140" max="15140" width="7.7109375" style="121" customWidth="1"/>
    <col min="15141" max="15141" width="5.5703125" style="121" customWidth="1"/>
    <col min="15142" max="15142" width="2.140625" style="121" customWidth="1"/>
    <col min="15143" max="15143" width="7" style="121" customWidth="1"/>
    <col min="15144" max="15144" width="6.5703125" style="121" customWidth="1"/>
    <col min="15145" max="15145" width="1.140625" style="121" customWidth="1"/>
    <col min="15146" max="15146" width="5.28515625" style="121" customWidth="1"/>
    <col min="15147" max="15147" width="5.42578125" style="121" customWidth="1"/>
    <col min="15148" max="15148" width="2" style="121" customWidth="1"/>
    <col min="15149" max="15151" width="2.140625" style="121" customWidth="1"/>
    <col min="15152" max="15152" width="2.28515625" style="121" customWidth="1"/>
    <col min="15153" max="15153" width="0.85546875" style="121" customWidth="1"/>
    <col min="15154" max="15154" width="2" style="121" customWidth="1"/>
    <col min="15155" max="15155" width="0" style="121" hidden="1" customWidth="1"/>
    <col min="15156" max="15156" width="2.140625" style="121" customWidth="1"/>
    <col min="15157" max="15157" width="1.5703125" style="121" customWidth="1"/>
    <col min="15158" max="15158" width="1.140625" style="121" customWidth="1"/>
    <col min="15159" max="15159" width="1" style="121" customWidth="1"/>
    <col min="15160" max="15160" width="5" style="121" customWidth="1"/>
    <col min="15161" max="15161" width="2.28515625" style="121" customWidth="1"/>
    <col min="15162" max="15162" width="1.42578125" style="121" customWidth="1"/>
    <col min="15163" max="15165" width="2.140625" style="121" customWidth="1"/>
    <col min="15166" max="15166" width="3.28515625" style="121" customWidth="1"/>
    <col min="15167" max="15167" width="2.42578125" style="121" customWidth="1"/>
    <col min="15168" max="15168" width="2.140625" style="121" customWidth="1"/>
    <col min="15169" max="15169" width="2.7109375" style="121" customWidth="1"/>
    <col min="15170" max="15173" width="2.140625" style="121" customWidth="1"/>
    <col min="15174" max="15174" width="1.7109375" style="121" customWidth="1"/>
    <col min="15175" max="15290" width="2.140625" style="121" customWidth="1"/>
    <col min="15291" max="15359" width="11.42578125" style="121"/>
    <col min="15360" max="15360" width="2.28515625" style="121" customWidth="1"/>
    <col min="15361" max="15361" width="23.5703125" style="121" customWidth="1"/>
    <col min="15362" max="15362" width="2.42578125" style="121" customWidth="1"/>
    <col min="15363" max="15363" width="1.7109375" style="121" customWidth="1"/>
    <col min="15364" max="15364" width="2.7109375" style="121" customWidth="1"/>
    <col min="15365" max="15365" width="7" style="121" customWidth="1"/>
    <col min="15366" max="15366" width="1.28515625" style="121" customWidth="1"/>
    <col min="15367" max="15367" width="0.7109375" style="121" customWidth="1"/>
    <col min="15368" max="15372" width="2.140625" style="121" customWidth="1"/>
    <col min="15373" max="15374" width="1.7109375" style="121" customWidth="1"/>
    <col min="15375" max="15384" width="2.140625" style="121" customWidth="1"/>
    <col min="15385" max="15385" width="6.5703125" style="121" customWidth="1"/>
    <col min="15386" max="15386" width="1.28515625" style="121" customWidth="1"/>
    <col min="15387" max="15387" width="3.7109375" style="121" customWidth="1"/>
    <col min="15388" max="15388" width="1.85546875" style="121" customWidth="1"/>
    <col min="15389" max="15392" width="2.140625" style="121" customWidth="1"/>
    <col min="15393" max="15394" width="6.42578125" style="121" customWidth="1"/>
    <col min="15395" max="15395" width="2.140625" style="121" customWidth="1"/>
    <col min="15396" max="15396" width="7.7109375" style="121" customWidth="1"/>
    <col min="15397" max="15397" width="5.5703125" style="121" customWidth="1"/>
    <col min="15398" max="15398" width="2.140625" style="121" customWidth="1"/>
    <col min="15399" max="15399" width="7" style="121" customWidth="1"/>
    <col min="15400" max="15400" width="6.5703125" style="121" customWidth="1"/>
    <col min="15401" max="15401" width="1.140625" style="121" customWidth="1"/>
    <col min="15402" max="15402" width="5.28515625" style="121" customWidth="1"/>
    <col min="15403" max="15403" width="5.42578125" style="121" customWidth="1"/>
    <col min="15404" max="15404" width="2" style="121" customWidth="1"/>
    <col min="15405" max="15407" width="2.140625" style="121" customWidth="1"/>
    <col min="15408" max="15408" width="2.28515625" style="121" customWidth="1"/>
    <col min="15409" max="15409" width="0.85546875" style="121" customWidth="1"/>
    <col min="15410" max="15410" width="2" style="121" customWidth="1"/>
    <col min="15411" max="15411" width="0" style="121" hidden="1" customWidth="1"/>
    <col min="15412" max="15412" width="2.140625" style="121" customWidth="1"/>
    <col min="15413" max="15413" width="1.5703125" style="121" customWidth="1"/>
    <col min="15414" max="15414" width="1.140625" style="121" customWidth="1"/>
    <col min="15415" max="15415" width="1" style="121" customWidth="1"/>
    <col min="15416" max="15416" width="5" style="121" customWidth="1"/>
    <col min="15417" max="15417" width="2.28515625" style="121" customWidth="1"/>
    <col min="15418" max="15418" width="1.42578125" style="121" customWidth="1"/>
    <col min="15419" max="15421" width="2.140625" style="121" customWidth="1"/>
    <col min="15422" max="15422" width="3.28515625" style="121" customWidth="1"/>
    <col min="15423" max="15423" width="2.42578125" style="121" customWidth="1"/>
    <col min="15424" max="15424" width="2.140625" style="121" customWidth="1"/>
    <col min="15425" max="15425" width="2.7109375" style="121" customWidth="1"/>
    <col min="15426" max="15429" width="2.140625" style="121" customWidth="1"/>
    <col min="15430" max="15430" width="1.7109375" style="121" customWidth="1"/>
    <col min="15431" max="15546" width="2.140625" style="121" customWidth="1"/>
    <col min="15547" max="15615" width="11.42578125" style="121"/>
    <col min="15616" max="15616" width="2.28515625" style="121" customWidth="1"/>
    <col min="15617" max="15617" width="23.5703125" style="121" customWidth="1"/>
    <col min="15618" max="15618" width="2.42578125" style="121" customWidth="1"/>
    <col min="15619" max="15619" width="1.7109375" style="121" customWidth="1"/>
    <col min="15620" max="15620" width="2.7109375" style="121" customWidth="1"/>
    <col min="15621" max="15621" width="7" style="121" customWidth="1"/>
    <col min="15622" max="15622" width="1.28515625" style="121" customWidth="1"/>
    <col min="15623" max="15623" width="0.7109375" style="121" customWidth="1"/>
    <col min="15624" max="15628" width="2.140625" style="121" customWidth="1"/>
    <col min="15629" max="15630" width="1.7109375" style="121" customWidth="1"/>
    <col min="15631" max="15640" width="2.140625" style="121" customWidth="1"/>
    <col min="15641" max="15641" width="6.5703125" style="121" customWidth="1"/>
    <col min="15642" max="15642" width="1.28515625" style="121" customWidth="1"/>
    <col min="15643" max="15643" width="3.7109375" style="121" customWidth="1"/>
    <col min="15644" max="15644" width="1.85546875" style="121" customWidth="1"/>
    <col min="15645" max="15648" width="2.140625" style="121" customWidth="1"/>
    <col min="15649" max="15650" width="6.42578125" style="121" customWidth="1"/>
    <col min="15651" max="15651" width="2.140625" style="121" customWidth="1"/>
    <col min="15652" max="15652" width="7.7109375" style="121" customWidth="1"/>
    <col min="15653" max="15653" width="5.5703125" style="121" customWidth="1"/>
    <col min="15654" max="15654" width="2.140625" style="121" customWidth="1"/>
    <col min="15655" max="15655" width="7" style="121" customWidth="1"/>
    <col min="15656" max="15656" width="6.5703125" style="121" customWidth="1"/>
    <col min="15657" max="15657" width="1.140625" style="121" customWidth="1"/>
    <col min="15658" max="15658" width="5.28515625" style="121" customWidth="1"/>
    <col min="15659" max="15659" width="5.42578125" style="121" customWidth="1"/>
    <col min="15660" max="15660" width="2" style="121" customWidth="1"/>
    <col min="15661" max="15663" width="2.140625" style="121" customWidth="1"/>
    <col min="15664" max="15664" width="2.28515625" style="121" customWidth="1"/>
    <col min="15665" max="15665" width="0.85546875" style="121" customWidth="1"/>
    <col min="15666" max="15666" width="2" style="121" customWidth="1"/>
    <col min="15667" max="15667" width="0" style="121" hidden="1" customWidth="1"/>
    <col min="15668" max="15668" width="2.140625" style="121" customWidth="1"/>
    <col min="15669" max="15669" width="1.5703125" style="121" customWidth="1"/>
    <col min="15670" max="15670" width="1.140625" style="121" customWidth="1"/>
    <col min="15671" max="15671" width="1" style="121" customWidth="1"/>
    <col min="15672" max="15672" width="5" style="121" customWidth="1"/>
    <col min="15673" max="15673" width="2.28515625" style="121" customWidth="1"/>
    <col min="15674" max="15674" width="1.42578125" style="121" customWidth="1"/>
    <col min="15675" max="15677" width="2.140625" style="121" customWidth="1"/>
    <col min="15678" max="15678" width="3.28515625" style="121" customWidth="1"/>
    <col min="15679" max="15679" width="2.42578125" style="121" customWidth="1"/>
    <col min="15680" max="15680" width="2.140625" style="121" customWidth="1"/>
    <col min="15681" max="15681" width="2.7109375" style="121" customWidth="1"/>
    <col min="15682" max="15685" width="2.140625" style="121" customWidth="1"/>
    <col min="15686" max="15686" width="1.7109375" style="121" customWidth="1"/>
    <col min="15687" max="15802" width="2.140625" style="121" customWidth="1"/>
    <col min="15803" max="15871" width="11.42578125" style="121"/>
    <col min="15872" max="15872" width="2.28515625" style="121" customWidth="1"/>
    <col min="15873" max="15873" width="23.5703125" style="121" customWidth="1"/>
    <col min="15874" max="15874" width="2.42578125" style="121" customWidth="1"/>
    <col min="15875" max="15875" width="1.7109375" style="121" customWidth="1"/>
    <col min="15876" max="15876" width="2.7109375" style="121" customWidth="1"/>
    <col min="15877" max="15877" width="7" style="121" customWidth="1"/>
    <col min="15878" max="15878" width="1.28515625" style="121" customWidth="1"/>
    <col min="15879" max="15879" width="0.7109375" style="121" customWidth="1"/>
    <col min="15880" max="15884" width="2.140625" style="121" customWidth="1"/>
    <col min="15885" max="15886" width="1.7109375" style="121" customWidth="1"/>
    <col min="15887" max="15896" width="2.140625" style="121" customWidth="1"/>
    <col min="15897" max="15897" width="6.5703125" style="121" customWidth="1"/>
    <col min="15898" max="15898" width="1.28515625" style="121" customWidth="1"/>
    <col min="15899" max="15899" width="3.7109375" style="121" customWidth="1"/>
    <col min="15900" max="15900" width="1.85546875" style="121" customWidth="1"/>
    <col min="15901" max="15904" width="2.140625" style="121" customWidth="1"/>
    <col min="15905" max="15906" width="6.42578125" style="121" customWidth="1"/>
    <col min="15907" max="15907" width="2.140625" style="121" customWidth="1"/>
    <col min="15908" max="15908" width="7.7109375" style="121" customWidth="1"/>
    <col min="15909" max="15909" width="5.5703125" style="121" customWidth="1"/>
    <col min="15910" max="15910" width="2.140625" style="121" customWidth="1"/>
    <col min="15911" max="15911" width="7" style="121" customWidth="1"/>
    <col min="15912" max="15912" width="6.5703125" style="121" customWidth="1"/>
    <col min="15913" max="15913" width="1.140625" style="121" customWidth="1"/>
    <col min="15914" max="15914" width="5.28515625" style="121" customWidth="1"/>
    <col min="15915" max="15915" width="5.42578125" style="121" customWidth="1"/>
    <col min="15916" max="15916" width="2" style="121" customWidth="1"/>
    <col min="15917" max="15919" width="2.140625" style="121" customWidth="1"/>
    <col min="15920" max="15920" width="2.28515625" style="121" customWidth="1"/>
    <col min="15921" max="15921" width="0.85546875" style="121" customWidth="1"/>
    <col min="15922" max="15922" width="2" style="121" customWidth="1"/>
    <col min="15923" max="15923" width="0" style="121" hidden="1" customWidth="1"/>
    <col min="15924" max="15924" width="2.140625" style="121" customWidth="1"/>
    <col min="15925" max="15925" width="1.5703125" style="121" customWidth="1"/>
    <col min="15926" max="15926" width="1.140625" style="121" customWidth="1"/>
    <col min="15927" max="15927" width="1" style="121" customWidth="1"/>
    <col min="15928" max="15928" width="5" style="121" customWidth="1"/>
    <col min="15929" max="15929" width="2.28515625" style="121" customWidth="1"/>
    <col min="15930" max="15930" width="1.42578125" style="121" customWidth="1"/>
    <col min="15931" max="15933" width="2.140625" style="121" customWidth="1"/>
    <col min="15934" max="15934" width="3.28515625" style="121" customWidth="1"/>
    <col min="15935" max="15935" width="2.42578125" style="121" customWidth="1"/>
    <col min="15936" max="15936" width="2.140625" style="121" customWidth="1"/>
    <col min="15937" max="15937" width="2.7109375" style="121" customWidth="1"/>
    <col min="15938" max="15941" width="2.140625" style="121" customWidth="1"/>
    <col min="15942" max="15942" width="1.7109375" style="121" customWidth="1"/>
    <col min="15943" max="16058" width="2.140625" style="121" customWidth="1"/>
    <col min="16059" max="16127" width="11.42578125" style="121"/>
    <col min="16128" max="16128" width="2.28515625" style="121" customWidth="1"/>
    <col min="16129" max="16129" width="23.5703125" style="121" customWidth="1"/>
    <col min="16130" max="16130" width="2.42578125" style="121" customWidth="1"/>
    <col min="16131" max="16131" width="1.7109375" style="121" customWidth="1"/>
    <col min="16132" max="16132" width="2.7109375" style="121" customWidth="1"/>
    <col min="16133" max="16133" width="7" style="121" customWidth="1"/>
    <col min="16134" max="16134" width="1.28515625" style="121" customWidth="1"/>
    <col min="16135" max="16135" width="0.7109375" style="121" customWidth="1"/>
    <col min="16136" max="16140" width="2.140625" style="121" customWidth="1"/>
    <col min="16141" max="16142" width="1.7109375" style="121" customWidth="1"/>
    <col min="16143" max="16152" width="2.140625" style="121" customWidth="1"/>
    <col min="16153" max="16153" width="6.5703125" style="121" customWidth="1"/>
    <col min="16154" max="16154" width="1.28515625" style="121" customWidth="1"/>
    <col min="16155" max="16155" width="3.7109375" style="121" customWidth="1"/>
    <col min="16156" max="16156" width="1.85546875" style="121" customWidth="1"/>
    <col min="16157" max="16160" width="2.140625" style="121" customWidth="1"/>
    <col min="16161" max="16162" width="6.42578125" style="121" customWidth="1"/>
    <col min="16163" max="16163" width="2.140625" style="121" customWidth="1"/>
    <col min="16164" max="16164" width="7.7109375" style="121" customWidth="1"/>
    <col min="16165" max="16165" width="5.5703125" style="121" customWidth="1"/>
    <col min="16166" max="16166" width="2.140625" style="121" customWidth="1"/>
    <col min="16167" max="16167" width="7" style="121" customWidth="1"/>
    <col min="16168" max="16168" width="6.5703125" style="121" customWidth="1"/>
    <col min="16169" max="16169" width="1.140625" style="121" customWidth="1"/>
    <col min="16170" max="16170" width="5.28515625" style="121" customWidth="1"/>
    <col min="16171" max="16171" width="5.42578125" style="121" customWidth="1"/>
    <col min="16172" max="16172" width="2" style="121" customWidth="1"/>
    <col min="16173" max="16175" width="2.140625" style="121" customWidth="1"/>
    <col min="16176" max="16176" width="2.28515625" style="121" customWidth="1"/>
    <col min="16177" max="16177" width="0.85546875" style="121" customWidth="1"/>
    <col min="16178" max="16178" width="2" style="121" customWidth="1"/>
    <col min="16179" max="16179" width="0" style="121" hidden="1" customWidth="1"/>
    <col min="16180" max="16180" width="2.140625" style="121" customWidth="1"/>
    <col min="16181" max="16181" width="1.5703125" style="121" customWidth="1"/>
    <col min="16182" max="16182" width="1.140625" style="121" customWidth="1"/>
    <col min="16183" max="16183" width="1" style="121" customWidth="1"/>
    <col min="16184" max="16184" width="5" style="121" customWidth="1"/>
    <col min="16185" max="16185" width="2.28515625" style="121" customWidth="1"/>
    <col min="16186" max="16186" width="1.42578125" style="121" customWidth="1"/>
    <col min="16187" max="16189" width="2.140625" style="121" customWidth="1"/>
    <col min="16190" max="16190" width="3.28515625" style="121" customWidth="1"/>
    <col min="16191" max="16191" width="2.42578125" style="121" customWidth="1"/>
    <col min="16192" max="16192" width="2.140625" style="121" customWidth="1"/>
    <col min="16193" max="16193" width="2.7109375" style="121" customWidth="1"/>
    <col min="16194" max="16197" width="2.140625" style="121" customWidth="1"/>
    <col min="16198" max="16198" width="1.7109375" style="121" customWidth="1"/>
    <col min="16199" max="16314" width="2.140625" style="121" customWidth="1"/>
    <col min="16315" max="16384" width="11.42578125" style="121"/>
  </cols>
  <sheetData>
    <row r="1" spans="1:72" x14ac:dyDescent="0.25">
      <c r="A1" s="181" t="s">
        <v>132</v>
      </c>
    </row>
    <row r="2" spans="1:72" x14ac:dyDescent="0.25">
      <c r="A2" s="47"/>
      <c r="B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BT2" s="121"/>
    </row>
    <row r="3" spans="1:72" ht="15.75" thickBot="1" x14ac:dyDescent="0.3">
      <c r="A3" s="255"/>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BT3" s="121"/>
    </row>
    <row r="4" spans="1:72" ht="18" x14ac:dyDescent="0.3">
      <c r="A4" s="255"/>
      <c r="B4" s="250"/>
      <c r="C4" s="251"/>
      <c r="D4" s="252" t="s">
        <v>484</v>
      </c>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4"/>
      <c r="AO4" s="255"/>
      <c r="AP4" s="255"/>
      <c r="AQ4" s="255"/>
      <c r="AR4" s="255"/>
      <c r="AS4" s="255"/>
      <c r="BT4" s="121"/>
    </row>
    <row r="5" spans="1:72" ht="15" customHeight="1" x14ac:dyDescent="0.25">
      <c r="A5" s="255"/>
      <c r="B5" s="256"/>
      <c r="C5" s="257"/>
      <c r="D5" s="257"/>
      <c r="E5" s="257"/>
      <c r="F5" s="258"/>
      <c r="G5" s="257"/>
      <c r="H5" s="257"/>
      <c r="I5" s="259"/>
      <c r="J5" s="259"/>
      <c r="K5" s="260"/>
      <c r="L5" s="260"/>
      <c r="M5" s="260"/>
      <c r="N5" s="260"/>
      <c r="O5" s="260"/>
      <c r="P5" s="260"/>
      <c r="Q5" s="260"/>
      <c r="R5" s="260"/>
      <c r="S5" s="260"/>
      <c r="T5" s="257"/>
      <c r="U5" s="257"/>
      <c r="V5" s="257"/>
      <c r="W5" s="257"/>
      <c r="X5" s="257"/>
      <c r="Y5" s="257"/>
      <c r="Z5" s="257"/>
      <c r="AA5" s="257"/>
      <c r="AB5" s="257"/>
      <c r="AC5" s="257"/>
      <c r="AD5" s="257"/>
      <c r="AE5" s="257"/>
      <c r="AF5" s="257"/>
      <c r="AG5" s="257"/>
      <c r="AH5" s="257"/>
      <c r="AI5" s="257"/>
      <c r="AJ5" s="257"/>
      <c r="AK5" s="257"/>
      <c r="AL5" s="257"/>
      <c r="AM5" s="257"/>
      <c r="AN5" s="261"/>
      <c r="AO5" s="255"/>
      <c r="AP5" s="255"/>
      <c r="AQ5" s="255"/>
      <c r="AR5" s="255"/>
      <c r="AS5" s="255"/>
      <c r="BT5" s="121"/>
    </row>
    <row r="6" spans="1:72" ht="16.5" x14ac:dyDescent="0.25">
      <c r="A6" s="255"/>
      <c r="B6" s="262"/>
      <c r="C6" s="263"/>
      <c r="D6" s="257"/>
      <c r="E6" s="260" t="s">
        <v>485</v>
      </c>
      <c r="F6" s="257"/>
      <c r="G6" s="257"/>
      <c r="H6" s="260"/>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64"/>
      <c r="AN6" s="265"/>
      <c r="AO6" s="255"/>
      <c r="AP6" s="255"/>
      <c r="AQ6" s="255"/>
      <c r="AR6" s="255"/>
      <c r="AS6" s="255"/>
      <c r="BT6" s="121"/>
    </row>
    <row r="7" spans="1:72" ht="16.5" x14ac:dyDescent="0.25">
      <c r="A7" s="255"/>
      <c r="B7" s="262"/>
      <c r="C7" s="266"/>
      <c r="D7" s="267"/>
      <c r="E7" s="267"/>
      <c r="F7" s="267"/>
      <c r="G7" s="268"/>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9"/>
      <c r="AN7" s="270"/>
      <c r="AO7" s="255"/>
      <c r="AP7" s="255"/>
      <c r="AQ7" s="255"/>
      <c r="AR7" s="255"/>
      <c r="AS7" s="255"/>
      <c r="BT7" s="121"/>
    </row>
    <row r="8" spans="1:72" ht="16.5" x14ac:dyDescent="0.25">
      <c r="A8" s="255"/>
      <c r="B8" s="262"/>
      <c r="C8" s="266"/>
      <c r="D8" s="731" t="s">
        <v>486</v>
      </c>
      <c r="E8" s="731"/>
      <c r="F8" s="731"/>
      <c r="G8" s="731"/>
      <c r="H8" s="731"/>
      <c r="I8" s="731"/>
      <c r="J8" s="731"/>
      <c r="K8" s="731"/>
      <c r="L8" s="731"/>
      <c r="M8" s="731"/>
      <c r="N8" s="731"/>
      <c r="O8" s="731"/>
      <c r="P8" s="731"/>
      <c r="Q8" s="731"/>
      <c r="R8" s="731"/>
      <c r="S8" s="731"/>
      <c r="T8" s="731"/>
      <c r="U8" s="731"/>
      <c r="V8" s="731"/>
      <c r="W8" s="731"/>
      <c r="X8" s="731"/>
      <c r="Y8" s="731"/>
      <c r="Z8" s="731"/>
      <c r="AA8" s="731"/>
      <c r="AB8" s="731"/>
      <c r="AC8" s="731"/>
      <c r="AD8" s="731"/>
      <c r="AE8" s="731"/>
      <c r="AF8" s="731"/>
      <c r="AG8" s="731"/>
      <c r="AH8" s="731"/>
      <c r="AI8" s="731"/>
      <c r="AJ8" s="731"/>
      <c r="AK8" s="731"/>
      <c r="AL8" s="731"/>
      <c r="AM8" s="271"/>
      <c r="AN8" s="270"/>
      <c r="AO8" s="255"/>
      <c r="AP8" s="255"/>
      <c r="AQ8" s="255"/>
      <c r="AR8" s="255"/>
      <c r="AS8" s="255"/>
      <c r="BT8" s="121"/>
    </row>
    <row r="9" spans="1:72" ht="16.5" x14ac:dyDescent="0.25">
      <c r="A9" s="255"/>
      <c r="B9" s="262"/>
      <c r="C9" s="266"/>
      <c r="D9" s="731"/>
      <c r="E9" s="731"/>
      <c r="F9" s="731"/>
      <c r="G9" s="731"/>
      <c r="H9" s="731"/>
      <c r="I9" s="731"/>
      <c r="J9" s="731"/>
      <c r="K9" s="731"/>
      <c r="L9" s="731"/>
      <c r="M9" s="731"/>
      <c r="N9" s="731"/>
      <c r="O9" s="731"/>
      <c r="P9" s="731"/>
      <c r="Q9" s="731"/>
      <c r="R9" s="731"/>
      <c r="S9" s="731"/>
      <c r="T9" s="731"/>
      <c r="U9" s="731"/>
      <c r="V9" s="731"/>
      <c r="W9" s="731"/>
      <c r="X9" s="731"/>
      <c r="Y9" s="731"/>
      <c r="Z9" s="731"/>
      <c r="AA9" s="731"/>
      <c r="AB9" s="731"/>
      <c r="AC9" s="731"/>
      <c r="AD9" s="731"/>
      <c r="AE9" s="731"/>
      <c r="AF9" s="731"/>
      <c r="AG9" s="731"/>
      <c r="AH9" s="731"/>
      <c r="AI9" s="731"/>
      <c r="AJ9" s="731"/>
      <c r="AK9" s="731"/>
      <c r="AL9" s="731"/>
      <c r="AM9" s="271"/>
      <c r="AN9" s="270"/>
      <c r="AO9" s="255"/>
      <c r="AP9" s="255"/>
      <c r="AQ9" s="255"/>
      <c r="AR9" s="255"/>
      <c r="AS9" s="255"/>
      <c r="BT9" s="121"/>
    </row>
    <row r="10" spans="1:72" ht="16.5" x14ac:dyDescent="0.25">
      <c r="A10" s="255"/>
      <c r="B10" s="262"/>
      <c r="C10" s="266"/>
      <c r="D10" s="268"/>
      <c r="E10" s="267"/>
      <c r="F10" s="267"/>
      <c r="G10" s="268"/>
      <c r="H10" s="268"/>
      <c r="I10" s="268"/>
      <c r="J10" s="268"/>
      <c r="K10" s="268"/>
      <c r="L10" s="268"/>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67"/>
      <c r="AL10" s="267"/>
      <c r="AM10" s="269"/>
      <c r="AN10" s="270"/>
      <c r="AO10" s="255"/>
      <c r="AP10" s="255"/>
      <c r="AQ10" s="255"/>
      <c r="AR10" s="255"/>
      <c r="AS10" s="255"/>
      <c r="BT10" s="121"/>
    </row>
    <row r="11" spans="1:72" ht="16.5" x14ac:dyDescent="0.25">
      <c r="A11" s="255"/>
      <c r="B11" s="262"/>
      <c r="C11" s="266"/>
      <c r="D11" s="273" t="s">
        <v>487</v>
      </c>
      <c r="E11" s="273"/>
      <c r="F11" s="273"/>
      <c r="G11" s="273"/>
      <c r="H11" s="273"/>
      <c r="I11" s="273"/>
      <c r="J11" s="273"/>
      <c r="K11" s="273"/>
      <c r="L11" s="273"/>
      <c r="M11" s="273"/>
      <c r="N11" s="273"/>
      <c r="O11" s="273"/>
      <c r="P11" s="273"/>
      <c r="Q11" s="274"/>
      <c r="R11" s="274"/>
      <c r="S11" s="274"/>
      <c r="T11" s="275"/>
      <c r="U11" s="275"/>
      <c r="V11" s="275"/>
      <c r="W11" s="275"/>
      <c r="X11" s="275"/>
      <c r="Y11" s="275"/>
      <c r="Z11" s="275"/>
      <c r="AA11" s="275"/>
      <c r="AB11" s="275"/>
      <c r="AC11" s="275"/>
      <c r="AD11" s="275"/>
      <c r="AE11" s="275"/>
      <c r="AF11" s="275"/>
      <c r="AG11" s="732" t="s">
        <v>488</v>
      </c>
      <c r="AH11" s="733"/>
      <c r="AI11" s="733"/>
      <c r="AJ11" s="733"/>
      <c r="AK11" s="733"/>
      <c r="AL11" s="734"/>
      <c r="AM11" s="276"/>
      <c r="AN11" s="270"/>
      <c r="AO11" s="255"/>
      <c r="AP11" s="255"/>
      <c r="AQ11" s="255"/>
      <c r="AR11" s="255"/>
      <c r="AS11" s="255"/>
      <c r="BT11" s="121"/>
    </row>
    <row r="12" spans="1:72" ht="16.5" x14ac:dyDescent="0.3">
      <c r="A12" s="255"/>
      <c r="B12" s="262"/>
      <c r="C12" s="266"/>
      <c r="D12" s="273" t="s">
        <v>489</v>
      </c>
      <c r="E12" s="273"/>
      <c r="F12" s="273"/>
      <c r="G12" s="273" t="s">
        <v>490</v>
      </c>
      <c r="H12" s="273"/>
      <c r="I12" s="273"/>
      <c r="J12" s="273"/>
      <c r="K12" s="273"/>
      <c r="L12" s="273"/>
      <c r="M12" s="273"/>
      <c r="N12" s="273"/>
      <c r="O12" s="273"/>
      <c r="P12" s="273"/>
      <c r="Q12" s="277"/>
      <c r="R12" s="274"/>
      <c r="S12" s="274"/>
      <c r="T12" s="275"/>
      <c r="U12" s="275"/>
      <c r="V12" s="275"/>
      <c r="W12" s="275"/>
      <c r="X12" s="275"/>
      <c r="Y12" s="275"/>
      <c r="Z12" s="275"/>
      <c r="AA12" s="275"/>
      <c r="AB12" s="275"/>
      <c r="AC12" s="275"/>
      <c r="AD12" s="275"/>
      <c r="AE12" s="275"/>
      <c r="AF12" s="275"/>
      <c r="AG12" s="277"/>
      <c r="AH12" s="277"/>
      <c r="AI12" s="277"/>
      <c r="AJ12" s="277"/>
      <c r="AK12" s="277"/>
      <c r="AL12" s="277"/>
      <c r="AM12" s="278"/>
      <c r="AN12" s="270"/>
      <c r="AO12" s="255"/>
      <c r="AP12" s="255"/>
      <c r="AQ12" s="255"/>
      <c r="AR12" s="255"/>
      <c r="AS12" s="255"/>
      <c r="BT12" s="121"/>
    </row>
    <row r="13" spans="1:72" ht="16.5" x14ac:dyDescent="0.3">
      <c r="A13" s="255"/>
      <c r="B13" s="262"/>
      <c r="C13" s="266"/>
      <c r="D13" s="279" t="s">
        <v>304</v>
      </c>
      <c r="E13" s="280"/>
      <c r="F13" s="281"/>
      <c r="G13" s="281"/>
      <c r="H13" s="281"/>
      <c r="I13" s="281"/>
      <c r="J13" s="281"/>
      <c r="K13" s="257"/>
      <c r="L13" s="257"/>
      <c r="M13" s="257"/>
      <c r="N13" s="257"/>
      <c r="O13" s="257"/>
      <c r="P13" s="257"/>
      <c r="Q13" s="282"/>
      <c r="R13" s="257"/>
      <c r="S13" s="257"/>
      <c r="T13" s="257"/>
      <c r="U13" s="260"/>
      <c r="V13" s="257"/>
      <c r="W13" s="257"/>
      <c r="X13" s="257"/>
      <c r="Y13" s="260"/>
      <c r="Z13" s="260"/>
      <c r="AA13" s="257"/>
      <c r="AB13" s="257"/>
      <c r="AC13" s="257"/>
      <c r="AD13" s="257"/>
      <c r="AE13" s="257"/>
      <c r="AF13" s="257"/>
      <c r="AG13" s="283">
        <v>3006</v>
      </c>
      <c r="AH13" s="735">
        <v>8901382</v>
      </c>
      <c r="AI13" s="735"/>
      <c r="AJ13" s="735"/>
      <c r="AK13" s="735"/>
      <c r="AL13" s="736"/>
      <c r="AM13" s="284"/>
      <c r="AN13" s="270"/>
      <c r="AO13" s="255"/>
      <c r="AP13" s="255"/>
      <c r="AQ13" s="255"/>
      <c r="AR13" s="255"/>
      <c r="AS13" s="255"/>
      <c r="BT13" s="121"/>
    </row>
    <row r="14" spans="1:72" ht="16.5" x14ac:dyDescent="0.3">
      <c r="A14" s="255"/>
      <c r="B14" s="262"/>
      <c r="C14" s="266"/>
      <c r="D14" s="285" t="s">
        <v>305</v>
      </c>
      <c r="E14" s="286"/>
      <c r="F14" s="287"/>
      <c r="G14" s="287"/>
      <c r="H14" s="287"/>
      <c r="I14" s="287"/>
      <c r="J14" s="287"/>
      <c r="K14" s="288"/>
      <c r="L14" s="288"/>
      <c r="M14" s="288"/>
      <c r="N14" s="288"/>
      <c r="O14" s="288"/>
      <c r="P14" s="288"/>
      <c r="Q14" s="289"/>
      <c r="R14" s="288"/>
      <c r="S14" s="288"/>
      <c r="T14" s="288"/>
      <c r="U14" s="288"/>
      <c r="V14" s="288"/>
      <c r="W14" s="288"/>
      <c r="X14" s="288"/>
      <c r="Y14" s="288"/>
      <c r="Z14" s="288"/>
      <c r="AA14" s="288"/>
      <c r="AB14" s="288"/>
      <c r="AC14" s="288"/>
      <c r="AD14" s="288"/>
      <c r="AE14" s="288"/>
      <c r="AF14" s="288"/>
      <c r="AG14" s="283">
        <v>3007</v>
      </c>
      <c r="AH14" s="735">
        <v>21934872</v>
      </c>
      <c r="AI14" s="735"/>
      <c r="AJ14" s="735"/>
      <c r="AK14" s="735"/>
      <c r="AL14" s="736"/>
      <c r="AM14" s="284"/>
      <c r="AN14" s="270"/>
      <c r="AO14" s="255"/>
      <c r="AP14" s="255"/>
      <c r="AQ14" s="255"/>
      <c r="AR14" s="255"/>
      <c r="AS14" s="255"/>
      <c r="BT14" s="121"/>
    </row>
    <row r="15" spans="1:72" ht="17.25" thickBot="1" x14ac:dyDescent="0.35">
      <c r="A15" s="255"/>
      <c r="B15" s="262"/>
      <c r="C15" s="266"/>
      <c r="D15" s="290" t="s">
        <v>306</v>
      </c>
      <c r="E15" s="291"/>
      <c r="F15" s="292"/>
      <c r="G15" s="292"/>
      <c r="H15" s="292"/>
      <c r="I15" s="292"/>
      <c r="J15" s="292"/>
      <c r="K15" s="293"/>
      <c r="L15" s="293"/>
      <c r="M15" s="293"/>
      <c r="N15" s="293"/>
      <c r="O15" s="293"/>
      <c r="P15" s="293"/>
      <c r="Q15" s="294"/>
      <c r="R15" s="293"/>
      <c r="S15" s="293"/>
      <c r="T15" s="293"/>
      <c r="U15" s="293"/>
      <c r="V15" s="267"/>
      <c r="W15" s="267"/>
      <c r="X15" s="267"/>
      <c r="Y15" s="267"/>
      <c r="Z15" s="267"/>
      <c r="AA15" s="267"/>
      <c r="AB15" s="267"/>
      <c r="AC15" s="267"/>
      <c r="AD15" s="267"/>
      <c r="AE15" s="267"/>
      <c r="AF15" s="267"/>
      <c r="AG15" s="283">
        <v>3008</v>
      </c>
      <c r="AH15" s="737">
        <v>5332076</v>
      </c>
      <c r="AI15" s="737"/>
      <c r="AJ15" s="737"/>
      <c r="AK15" s="737"/>
      <c r="AL15" s="738"/>
      <c r="AM15" s="284"/>
      <c r="AN15" s="270"/>
      <c r="AO15" s="255"/>
      <c r="AP15" s="255"/>
      <c r="AQ15" s="255"/>
      <c r="AR15" s="255"/>
      <c r="AS15" s="255"/>
      <c r="BT15" s="121"/>
    </row>
    <row r="16" spans="1:72" ht="17.25" thickBot="1" x14ac:dyDescent="0.35">
      <c r="A16" s="255"/>
      <c r="B16" s="262"/>
      <c r="C16" s="266"/>
      <c r="D16" s="267"/>
      <c r="E16" s="268"/>
      <c r="F16" s="268"/>
      <c r="G16" s="268"/>
      <c r="H16" s="268"/>
      <c r="I16" s="268"/>
      <c r="J16" s="268"/>
      <c r="K16" s="267"/>
      <c r="L16" s="267"/>
      <c r="M16" s="267"/>
      <c r="N16" s="267"/>
      <c r="O16" s="267"/>
      <c r="P16" s="267"/>
      <c r="Q16" s="277"/>
      <c r="R16" s="267"/>
      <c r="S16" s="267"/>
      <c r="T16" s="267"/>
      <c r="U16" s="267"/>
      <c r="V16" s="739" t="s">
        <v>491</v>
      </c>
      <c r="W16" s="740"/>
      <c r="X16" s="740"/>
      <c r="Y16" s="740"/>
      <c r="Z16" s="740"/>
      <c r="AA16" s="740"/>
      <c r="AB16" s="740"/>
      <c r="AC16" s="740"/>
      <c r="AD16" s="740"/>
      <c r="AE16" s="740"/>
      <c r="AF16" s="740"/>
      <c r="AG16" s="295">
        <v>3009</v>
      </c>
      <c r="AH16" s="741">
        <v>36168330</v>
      </c>
      <c r="AI16" s="741"/>
      <c r="AJ16" s="741"/>
      <c r="AK16" s="741"/>
      <c r="AL16" s="742"/>
      <c r="AM16" s="284"/>
      <c r="AN16" s="270"/>
      <c r="AO16" s="255"/>
      <c r="AP16" s="255"/>
      <c r="AQ16" s="255"/>
      <c r="AR16" s="255"/>
      <c r="AS16" s="255"/>
      <c r="BT16" s="121"/>
    </row>
    <row r="17" spans="1:72" ht="16.5" x14ac:dyDescent="0.3">
      <c r="A17" s="255"/>
      <c r="B17" s="262"/>
      <c r="C17" s="266"/>
      <c r="D17" s="296" t="s">
        <v>492</v>
      </c>
      <c r="E17" s="268"/>
      <c r="F17" s="268"/>
      <c r="G17" s="268"/>
      <c r="H17" s="268"/>
      <c r="I17" s="268"/>
      <c r="J17" s="268"/>
      <c r="K17" s="267"/>
      <c r="L17" s="267"/>
      <c r="M17" s="267"/>
      <c r="N17" s="267"/>
      <c r="O17" s="267"/>
      <c r="P17" s="267"/>
      <c r="Q17" s="277"/>
      <c r="R17" s="267"/>
      <c r="S17" s="267"/>
      <c r="T17" s="267"/>
      <c r="U17" s="267"/>
      <c r="V17" s="267"/>
      <c r="W17" s="267"/>
      <c r="X17" s="267"/>
      <c r="Y17" s="267"/>
      <c r="Z17" s="267"/>
      <c r="AA17" s="267"/>
      <c r="AB17" s="267"/>
      <c r="AC17" s="267"/>
      <c r="AD17" s="267"/>
      <c r="AE17" s="267"/>
      <c r="AF17" s="267"/>
      <c r="AG17" s="297"/>
      <c r="AH17" s="274"/>
      <c r="AI17" s="267"/>
      <c r="AJ17" s="267"/>
      <c r="AK17" s="274"/>
      <c r="AL17" s="274"/>
      <c r="AM17" s="298"/>
      <c r="AN17" s="270"/>
      <c r="AO17" s="255"/>
      <c r="AP17" s="255"/>
      <c r="AQ17" s="255"/>
      <c r="AR17" s="255"/>
      <c r="AS17" s="255"/>
      <c r="BT17" s="121"/>
    </row>
    <row r="18" spans="1:72" ht="16.5" x14ac:dyDescent="0.25">
      <c r="A18" s="255"/>
      <c r="B18" s="262"/>
      <c r="C18" s="266"/>
      <c r="D18" s="299" t="s">
        <v>493</v>
      </c>
      <c r="E18" s="287"/>
      <c r="F18" s="287"/>
      <c r="G18" s="287"/>
      <c r="H18" s="287"/>
      <c r="I18" s="287"/>
      <c r="J18" s="287"/>
      <c r="K18" s="300"/>
      <c r="L18" s="300"/>
      <c r="M18" s="300"/>
      <c r="N18" s="300"/>
      <c r="O18" s="300"/>
      <c r="P18" s="300"/>
      <c r="Q18" s="301"/>
      <c r="R18" s="301"/>
      <c r="S18" s="301"/>
      <c r="T18" s="301"/>
      <c r="U18" s="301"/>
      <c r="V18" s="301"/>
      <c r="W18" s="301"/>
      <c r="X18" s="301"/>
      <c r="Y18" s="301"/>
      <c r="Z18" s="301"/>
      <c r="AA18" s="301"/>
      <c r="AB18" s="301"/>
      <c r="AC18" s="301"/>
      <c r="AD18" s="301"/>
      <c r="AE18" s="301"/>
      <c r="AF18" s="301"/>
      <c r="AG18" s="302">
        <v>3011</v>
      </c>
      <c r="AH18" s="743">
        <v>0</v>
      </c>
      <c r="AI18" s="743"/>
      <c r="AJ18" s="743"/>
      <c r="AK18" s="743"/>
      <c r="AL18" s="744"/>
      <c r="AM18" s="284"/>
      <c r="AN18" s="270"/>
      <c r="AO18" s="255"/>
      <c r="AP18" s="255"/>
      <c r="AQ18" s="255"/>
      <c r="AR18" s="255"/>
      <c r="AS18" s="255"/>
      <c r="BT18" s="121"/>
    </row>
    <row r="19" spans="1:72" ht="16.5" x14ac:dyDescent="0.25">
      <c r="A19" s="255"/>
      <c r="B19" s="262"/>
      <c r="C19" s="266"/>
      <c r="D19" s="745" t="s">
        <v>494</v>
      </c>
      <c r="E19" s="746"/>
      <c r="F19" s="746"/>
      <c r="G19" s="746"/>
      <c r="H19" s="746"/>
      <c r="I19" s="746"/>
      <c r="J19" s="746"/>
      <c r="K19" s="746"/>
      <c r="L19" s="746"/>
      <c r="M19" s="746"/>
      <c r="N19" s="746"/>
      <c r="O19" s="746"/>
      <c r="P19" s="746"/>
      <c r="Q19" s="746"/>
      <c r="R19" s="746"/>
      <c r="S19" s="746"/>
      <c r="T19" s="746"/>
      <c r="U19" s="746"/>
      <c r="V19" s="746"/>
      <c r="W19" s="746"/>
      <c r="X19" s="746"/>
      <c r="Y19" s="746"/>
      <c r="Z19" s="746"/>
      <c r="AA19" s="746"/>
      <c r="AB19" s="746"/>
      <c r="AC19" s="746"/>
      <c r="AD19" s="746"/>
      <c r="AE19" s="746"/>
      <c r="AF19" s="746"/>
      <c r="AG19" s="749">
        <v>3012</v>
      </c>
      <c r="AH19" s="751">
        <v>18791607</v>
      </c>
      <c r="AI19" s="751"/>
      <c r="AJ19" s="751"/>
      <c r="AK19" s="751"/>
      <c r="AL19" s="752"/>
      <c r="AM19" s="303"/>
      <c r="AN19" s="270"/>
      <c r="AO19" s="255"/>
      <c r="AP19" s="255"/>
      <c r="AQ19" s="255"/>
      <c r="AR19" s="255"/>
      <c r="AS19" s="255"/>
      <c r="BT19" s="121"/>
    </row>
    <row r="20" spans="1:72" ht="16.5" x14ac:dyDescent="0.25">
      <c r="A20" s="255"/>
      <c r="B20" s="262"/>
      <c r="C20" s="266"/>
      <c r="D20" s="747"/>
      <c r="E20" s="748"/>
      <c r="F20" s="748"/>
      <c r="G20" s="748"/>
      <c r="H20" s="748"/>
      <c r="I20" s="748"/>
      <c r="J20" s="748"/>
      <c r="K20" s="748"/>
      <c r="L20" s="748"/>
      <c r="M20" s="748"/>
      <c r="N20" s="748"/>
      <c r="O20" s="748"/>
      <c r="P20" s="748"/>
      <c r="Q20" s="748"/>
      <c r="R20" s="748"/>
      <c r="S20" s="748"/>
      <c r="T20" s="748"/>
      <c r="U20" s="748"/>
      <c r="V20" s="748"/>
      <c r="W20" s="748"/>
      <c r="X20" s="748"/>
      <c r="Y20" s="748"/>
      <c r="Z20" s="748"/>
      <c r="AA20" s="748"/>
      <c r="AB20" s="748"/>
      <c r="AC20" s="748"/>
      <c r="AD20" s="748"/>
      <c r="AE20" s="748"/>
      <c r="AF20" s="748"/>
      <c r="AG20" s="750"/>
      <c r="AH20" s="753"/>
      <c r="AI20" s="753"/>
      <c r="AJ20" s="753"/>
      <c r="AK20" s="753"/>
      <c r="AL20" s="754"/>
      <c r="AM20" s="303"/>
      <c r="AN20" s="270"/>
      <c r="AO20" s="255"/>
      <c r="AP20" s="255"/>
      <c r="AQ20" s="255"/>
      <c r="AR20" s="255"/>
      <c r="AS20" s="255"/>
      <c r="BT20" s="121"/>
    </row>
    <row r="21" spans="1:72" ht="24" customHeight="1" thickBot="1" x14ac:dyDescent="0.3">
      <c r="A21" s="255"/>
      <c r="B21" s="262"/>
      <c r="C21" s="266"/>
      <c r="D21" s="299" t="s">
        <v>495</v>
      </c>
      <c r="E21" s="287"/>
      <c r="F21" s="287"/>
      <c r="G21" s="287"/>
      <c r="H21" s="287"/>
      <c r="I21" s="287"/>
      <c r="J21" s="287"/>
      <c r="K21" s="300"/>
      <c r="L21" s="300"/>
      <c r="M21" s="300"/>
      <c r="N21" s="300"/>
      <c r="O21" s="300"/>
      <c r="P21" s="300"/>
      <c r="Q21" s="287"/>
      <c r="R21" s="287"/>
      <c r="S21" s="287"/>
      <c r="T21" s="287"/>
      <c r="U21" s="287"/>
      <c r="V21" s="281"/>
      <c r="W21" s="281"/>
      <c r="X21" s="281"/>
      <c r="Y21" s="281"/>
      <c r="Z21" s="281"/>
      <c r="AA21" s="281"/>
      <c r="AB21" s="281"/>
      <c r="AC21" s="281"/>
      <c r="AD21" s="281"/>
      <c r="AE21" s="281"/>
      <c r="AF21" s="281"/>
      <c r="AG21" s="283">
        <v>3013</v>
      </c>
      <c r="AH21" s="755">
        <v>5430832</v>
      </c>
      <c r="AI21" s="755"/>
      <c r="AJ21" s="755"/>
      <c r="AK21" s="755"/>
      <c r="AL21" s="756"/>
      <c r="AM21" s="284"/>
      <c r="AN21" s="270"/>
      <c r="AO21" s="255"/>
      <c r="AP21" s="255"/>
      <c r="AQ21" s="255"/>
      <c r="AR21" s="255"/>
      <c r="AS21" s="255"/>
      <c r="BT21" s="121"/>
    </row>
    <row r="22" spans="1:72" ht="24" customHeight="1" thickBot="1" x14ac:dyDescent="0.3">
      <c r="A22" s="255"/>
      <c r="B22" s="262"/>
      <c r="C22" s="266"/>
      <c r="D22" s="274"/>
      <c r="E22" s="273"/>
      <c r="F22" s="273"/>
      <c r="G22" s="273"/>
      <c r="H22" s="273"/>
      <c r="I22" s="273"/>
      <c r="J22" s="273"/>
      <c r="K22" s="274"/>
      <c r="L22" s="274"/>
      <c r="M22" s="274"/>
      <c r="N22" s="274"/>
      <c r="O22" s="274"/>
      <c r="P22" s="274"/>
      <c r="Q22" s="273"/>
      <c r="R22" s="273"/>
      <c r="S22" s="273"/>
      <c r="T22" s="273"/>
      <c r="U22" s="273"/>
      <c r="V22" s="739" t="s">
        <v>496</v>
      </c>
      <c r="W22" s="740"/>
      <c r="X22" s="740"/>
      <c r="Y22" s="740"/>
      <c r="Z22" s="740"/>
      <c r="AA22" s="740"/>
      <c r="AB22" s="740"/>
      <c r="AC22" s="740"/>
      <c r="AD22" s="740"/>
      <c r="AE22" s="740"/>
      <c r="AF22" s="740"/>
      <c r="AG22" s="295">
        <v>3100</v>
      </c>
      <c r="AH22" s="757">
        <v>24222439</v>
      </c>
      <c r="AI22" s="757"/>
      <c r="AJ22" s="757"/>
      <c r="AK22" s="757"/>
      <c r="AL22" s="758"/>
      <c r="AM22" s="284"/>
      <c r="AN22" s="270"/>
      <c r="AO22" s="255"/>
      <c r="AP22" s="255"/>
      <c r="AQ22" s="255"/>
      <c r="AR22" s="255"/>
      <c r="AS22" s="255"/>
      <c r="BT22" s="121"/>
    </row>
    <row r="23" spans="1:72" ht="26.25" customHeight="1" thickBot="1" x14ac:dyDescent="0.3">
      <c r="A23" s="255"/>
      <c r="B23" s="262"/>
      <c r="C23" s="266"/>
      <c r="D23" s="274"/>
      <c r="E23" s="273"/>
      <c r="F23" s="273"/>
      <c r="G23" s="273"/>
      <c r="H23" s="273"/>
      <c r="I23" s="273"/>
      <c r="J23" s="273"/>
      <c r="K23" s="274"/>
      <c r="L23" s="274"/>
      <c r="M23" s="274"/>
      <c r="N23" s="274"/>
      <c r="O23" s="274"/>
      <c r="P23" s="274"/>
      <c r="Q23" s="273"/>
      <c r="R23" s="273"/>
      <c r="S23" s="273"/>
      <c r="T23" s="273"/>
      <c r="U23" s="273"/>
      <c r="V23" s="759" t="s">
        <v>497</v>
      </c>
      <c r="W23" s="760"/>
      <c r="X23" s="760"/>
      <c r="Y23" s="760"/>
      <c r="Z23" s="760"/>
      <c r="AA23" s="760"/>
      <c r="AB23" s="760"/>
      <c r="AC23" s="760"/>
      <c r="AD23" s="760"/>
      <c r="AE23" s="760"/>
      <c r="AF23" s="760"/>
      <c r="AG23" s="304">
        <v>3014</v>
      </c>
      <c r="AH23" s="761">
        <v>60390769</v>
      </c>
      <c r="AI23" s="761"/>
      <c r="AJ23" s="761"/>
      <c r="AK23" s="761"/>
      <c r="AL23" s="762"/>
      <c r="AM23" s="284"/>
      <c r="AN23" s="270"/>
      <c r="AO23" s="255"/>
      <c r="AP23" s="255"/>
      <c r="AQ23" s="255"/>
      <c r="AR23" s="255"/>
      <c r="AS23" s="255"/>
      <c r="BT23" s="121"/>
    </row>
    <row r="24" spans="1:72" ht="57.75" customHeight="1" x14ac:dyDescent="0.3">
      <c r="A24" s="255"/>
      <c r="B24" s="262"/>
      <c r="C24" s="266"/>
      <c r="D24" s="296" t="s">
        <v>303</v>
      </c>
      <c r="E24" s="273"/>
      <c r="F24" s="273"/>
      <c r="G24" s="273"/>
      <c r="H24" s="273"/>
      <c r="I24" s="273"/>
      <c r="J24" s="273"/>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763"/>
      <c r="AH24" s="763"/>
      <c r="AI24" s="305"/>
      <c r="AJ24" s="305"/>
      <c r="AK24" s="274"/>
      <c r="AL24" s="274"/>
      <c r="AM24" s="298"/>
      <c r="AN24" s="270"/>
      <c r="AO24" s="255"/>
      <c r="AP24" s="255"/>
      <c r="AQ24" s="255"/>
      <c r="AR24" s="255"/>
      <c r="AS24" s="255"/>
      <c r="BT24" s="121"/>
    </row>
    <row r="25" spans="1:72" ht="30.75" customHeight="1" x14ac:dyDescent="0.25">
      <c r="A25" s="255"/>
      <c r="B25" s="262"/>
      <c r="C25" s="266"/>
      <c r="D25" s="764" t="s">
        <v>498</v>
      </c>
      <c r="E25" s="765"/>
      <c r="F25" s="765"/>
      <c r="G25" s="765"/>
      <c r="H25" s="765"/>
      <c r="I25" s="765"/>
      <c r="J25" s="765"/>
      <c r="K25" s="765"/>
      <c r="L25" s="765"/>
      <c r="M25" s="765"/>
      <c r="N25" s="765"/>
      <c r="O25" s="765"/>
      <c r="P25" s="765"/>
      <c r="Q25" s="765"/>
      <c r="R25" s="765"/>
      <c r="S25" s="765"/>
      <c r="T25" s="765"/>
      <c r="U25" s="765"/>
      <c r="V25" s="765"/>
      <c r="W25" s="765"/>
      <c r="X25" s="765"/>
      <c r="Y25" s="765"/>
      <c r="Z25" s="765"/>
      <c r="AA25" s="765"/>
      <c r="AB25" s="765"/>
      <c r="AC25" s="765"/>
      <c r="AD25" s="765"/>
      <c r="AE25" s="765"/>
      <c r="AF25" s="766"/>
      <c r="AG25" s="302">
        <v>3015</v>
      </c>
      <c r="AH25" s="743">
        <v>0</v>
      </c>
      <c r="AI25" s="743"/>
      <c r="AJ25" s="743"/>
      <c r="AK25" s="743"/>
      <c r="AL25" s="744"/>
      <c r="AM25" s="284"/>
      <c r="AN25" s="270"/>
      <c r="AO25" s="255"/>
      <c r="AP25" s="255"/>
      <c r="AQ25" s="255"/>
      <c r="AR25" s="255"/>
      <c r="AS25" s="255"/>
      <c r="BT25" s="121"/>
    </row>
    <row r="26" spans="1:72" ht="15.75" customHeight="1" x14ac:dyDescent="0.25">
      <c r="A26" s="255"/>
      <c r="B26" s="262"/>
      <c r="C26" s="266"/>
      <c r="D26" s="764" t="s">
        <v>499</v>
      </c>
      <c r="E26" s="765"/>
      <c r="F26" s="765"/>
      <c r="G26" s="765"/>
      <c r="H26" s="765"/>
      <c r="I26" s="765"/>
      <c r="J26" s="765"/>
      <c r="K26" s="765"/>
      <c r="L26" s="765"/>
      <c r="M26" s="765"/>
      <c r="N26" s="765"/>
      <c r="O26" s="765"/>
      <c r="P26" s="765"/>
      <c r="Q26" s="765"/>
      <c r="R26" s="765"/>
      <c r="S26" s="765"/>
      <c r="T26" s="765"/>
      <c r="U26" s="765"/>
      <c r="V26" s="765"/>
      <c r="W26" s="765"/>
      <c r="X26" s="765"/>
      <c r="Y26" s="765"/>
      <c r="Z26" s="765"/>
      <c r="AA26" s="765"/>
      <c r="AB26" s="765"/>
      <c r="AC26" s="765"/>
      <c r="AD26" s="765"/>
      <c r="AE26" s="765"/>
      <c r="AF26" s="766"/>
      <c r="AG26" s="302">
        <v>3016</v>
      </c>
      <c r="AH26" s="767">
        <v>277509</v>
      </c>
      <c r="AI26" s="767"/>
      <c r="AJ26" s="767"/>
      <c r="AK26" s="767"/>
      <c r="AL26" s="768"/>
      <c r="AM26" s="284"/>
      <c r="AN26" s="270"/>
      <c r="AO26" s="255"/>
      <c r="AP26" s="255"/>
      <c r="AQ26" s="255"/>
      <c r="AR26" s="255"/>
      <c r="AS26" s="255"/>
      <c r="BT26" s="121"/>
    </row>
    <row r="27" spans="1:72" ht="15.75" customHeight="1" x14ac:dyDescent="0.25">
      <c r="A27" s="255"/>
      <c r="B27" s="262"/>
      <c r="C27" s="266"/>
      <c r="D27" s="764" t="s">
        <v>500</v>
      </c>
      <c r="E27" s="765"/>
      <c r="F27" s="765"/>
      <c r="G27" s="765"/>
      <c r="H27" s="765"/>
      <c r="I27" s="765"/>
      <c r="J27" s="765"/>
      <c r="K27" s="765"/>
      <c r="L27" s="765"/>
      <c r="M27" s="765"/>
      <c r="N27" s="765"/>
      <c r="O27" s="765"/>
      <c r="P27" s="765"/>
      <c r="Q27" s="765"/>
      <c r="R27" s="765"/>
      <c r="S27" s="765"/>
      <c r="T27" s="765"/>
      <c r="U27" s="765"/>
      <c r="V27" s="765"/>
      <c r="W27" s="765"/>
      <c r="X27" s="765"/>
      <c r="Y27" s="765"/>
      <c r="Z27" s="765"/>
      <c r="AA27" s="765"/>
      <c r="AB27" s="765"/>
      <c r="AC27" s="765"/>
      <c r="AD27" s="765"/>
      <c r="AE27" s="765"/>
      <c r="AF27" s="766"/>
      <c r="AG27" s="302">
        <v>3017</v>
      </c>
      <c r="AH27" s="767">
        <v>5155450</v>
      </c>
      <c r="AI27" s="767"/>
      <c r="AJ27" s="767"/>
      <c r="AK27" s="767"/>
      <c r="AL27" s="768"/>
      <c r="AM27" s="284"/>
      <c r="AN27" s="270"/>
      <c r="AO27" s="255"/>
      <c r="AP27" s="255"/>
      <c r="AQ27" s="255"/>
      <c r="AR27" s="255"/>
      <c r="AS27" s="255"/>
      <c r="BT27" s="121"/>
    </row>
    <row r="28" spans="1:72" ht="15.75" customHeight="1" thickBot="1" x14ac:dyDescent="0.3">
      <c r="A28" s="255"/>
      <c r="B28" s="262"/>
      <c r="C28" s="266"/>
      <c r="D28" s="769" t="s">
        <v>501</v>
      </c>
      <c r="E28" s="770"/>
      <c r="F28" s="770"/>
      <c r="G28" s="770"/>
      <c r="H28" s="770"/>
      <c r="I28" s="770"/>
      <c r="J28" s="770"/>
      <c r="K28" s="770"/>
      <c r="L28" s="770"/>
      <c r="M28" s="770"/>
      <c r="N28" s="770"/>
      <c r="O28" s="770"/>
      <c r="P28" s="770"/>
      <c r="Q28" s="770"/>
      <c r="R28" s="770"/>
      <c r="S28" s="770"/>
      <c r="T28" s="770"/>
      <c r="U28" s="770"/>
      <c r="V28" s="770"/>
      <c r="W28" s="770"/>
      <c r="X28" s="770"/>
      <c r="Y28" s="770"/>
      <c r="Z28" s="770"/>
      <c r="AA28" s="770"/>
      <c r="AB28" s="770"/>
      <c r="AC28" s="770"/>
      <c r="AD28" s="770"/>
      <c r="AE28" s="770"/>
      <c r="AF28" s="771"/>
      <c r="AG28" s="306">
        <v>3018</v>
      </c>
      <c r="AH28" s="772">
        <v>0</v>
      </c>
      <c r="AI28" s="772"/>
      <c r="AJ28" s="772"/>
      <c r="AK28" s="772"/>
      <c r="AL28" s="773"/>
      <c r="AM28" s="284"/>
      <c r="AN28" s="270"/>
      <c r="AO28" s="255"/>
      <c r="AP28" s="255"/>
      <c r="AQ28" s="255"/>
      <c r="AR28" s="255"/>
      <c r="AS28" s="255"/>
      <c r="BT28" s="121"/>
    </row>
    <row r="29" spans="1:72" ht="17.25" thickBot="1" x14ac:dyDescent="0.35">
      <c r="A29" s="255"/>
      <c r="B29" s="262"/>
      <c r="C29" s="266"/>
      <c r="D29" s="267"/>
      <c r="E29" s="277"/>
      <c r="F29" s="273"/>
      <c r="G29" s="273"/>
      <c r="H29" s="307"/>
      <c r="I29" s="307"/>
      <c r="J29" s="307"/>
      <c r="K29" s="275"/>
      <c r="L29" s="275"/>
      <c r="M29" s="275"/>
      <c r="N29" s="275"/>
      <c r="O29" s="275"/>
      <c r="P29" s="275"/>
      <c r="Q29" s="274"/>
      <c r="R29" s="274"/>
      <c r="S29" s="274"/>
      <c r="T29" s="274"/>
      <c r="U29" s="274"/>
      <c r="V29" s="739" t="s">
        <v>502</v>
      </c>
      <c r="W29" s="740"/>
      <c r="X29" s="740"/>
      <c r="Y29" s="740"/>
      <c r="Z29" s="740"/>
      <c r="AA29" s="740"/>
      <c r="AB29" s="740"/>
      <c r="AC29" s="740"/>
      <c r="AD29" s="740"/>
      <c r="AE29" s="740"/>
      <c r="AF29" s="740"/>
      <c r="AG29" s="295">
        <v>3019</v>
      </c>
      <c r="AH29" s="774">
        <v>5432959</v>
      </c>
      <c r="AI29" s="774"/>
      <c r="AJ29" s="774"/>
      <c r="AK29" s="774"/>
      <c r="AL29" s="775"/>
      <c r="AM29" s="284"/>
      <c r="AN29" s="270"/>
      <c r="AO29" s="255"/>
      <c r="AP29" s="255"/>
      <c r="AQ29" s="255"/>
      <c r="AR29" s="255"/>
      <c r="AS29" s="255"/>
      <c r="BT29" s="121"/>
    </row>
    <row r="30" spans="1:72" ht="15.75" customHeight="1" thickBot="1" x14ac:dyDescent="0.3">
      <c r="A30" s="255"/>
      <c r="B30" s="262"/>
      <c r="C30" s="266"/>
      <c r="D30" s="268"/>
      <c r="E30" s="307"/>
      <c r="F30" s="273"/>
      <c r="G30" s="273"/>
      <c r="H30" s="307"/>
      <c r="I30" s="307"/>
      <c r="J30" s="307"/>
      <c r="K30" s="275"/>
      <c r="L30" s="275"/>
      <c r="M30" s="275"/>
      <c r="N30" s="275"/>
      <c r="O30" s="275"/>
      <c r="P30" s="275"/>
      <c r="Q30" s="274"/>
      <c r="R30" s="274"/>
      <c r="S30" s="274"/>
      <c r="T30" s="274"/>
      <c r="U30" s="274"/>
      <c r="V30" s="274"/>
      <c r="W30" s="268"/>
      <c r="X30" s="268"/>
      <c r="Y30" s="274"/>
      <c r="Z30" s="274"/>
      <c r="AA30" s="274"/>
      <c r="AB30" s="274"/>
      <c r="AC30" s="274"/>
      <c r="AD30" s="274"/>
      <c r="AE30" s="274"/>
      <c r="AF30" s="274"/>
      <c r="AG30" s="308"/>
      <c r="AH30" s="309"/>
      <c r="AI30" s="274"/>
      <c r="AJ30" s="274"/>
      <c r="AK30" s="274"/>
      <c r="AL30" s="274"/>
      <c r="AM30" s="298"/>
      <c r="AN30" s="270"/>
      <c r="AO30" s="255"/>
      <c r="AP30" s="255"/>
      <c r="AQ30" s="255"/>
      <c r="AR30" s="255"/>
      <c r="AS30" s="255"/>
      <c r="BT30" s="121"/>
    </row>
    <row r="31" spans="1:72" ht="17.25" thickBot="1" x14ac:dyDescent="0.35">
      <c r="A31" s="255"/>
      <c r="B31" s="262"/>
      <c r="C31" s="266"/>
      <c r="D31" s="310" t="s">
        <v>503</v>
      </c>
      <c r="E31" s="311"/>
      <c r="F31" s="312"/>
      <c r="G31" s="312"/>
      <c r="H31" s="312"/>
      <c r="I31" s="312"/>
      <c r="J31" s="312"/>
      <c r="K31" s="313"/>
      <c r="L31" s="313"/>
      <c r="M31" s="313"/>
      <c r="N31" s="313"/>
      <c r="O31" s="313"/>
      <c r="P31" s="313"/>
      <c r="Q31" s="314"/>
      <c r="R31" s="314"/>
      <c r="S31" s="314"/>
      <c r="T31" s="314"/>
      <c r="U31" s="315"/>
      <c r="V31" s="314"/>
      <c r="W31" s="314"/>
      <c r="X31" s="314"/>
      <c r="Y31" s="314"/>
      <c r="Z31" s="314"/>
      <c r="AA31" s="314"/>
      <c r="AB31" s="314"/>
      <c r="AC31" s="314"/>
      <c r="AD31" s="314"/>
      <c r="AE31" s="314"/>
      <c r="AF31" s="314"/>
      <c r="AG31" s="295">
        <v>3020</v>
      </c>
      <c r="AH31" s="774">
        <v>65823728</v>
      </c>
      <c r="AI31" s="774"/>
      <c r="AJ31" s="774"/>
      <c r="AK31" s="774"/>
      <c r="AL31" s="775"/>
      <c r="AM31" s="284"/>
      <c r="AN31" s="270"/>
      <c r="AO31" s="255"/>
      <c r="AP31" s="255"/>
      <c r="AQ31" s="255"/>
      <c r="AR31" s="255"/>
      <c r="AS31" s="255"/>
      <c r="BT31" s="121"/>
    </row>
    <row r="32" spans="1:72" ht="16.5" x14ac:dyDescent="0.3">
      <c r="A32" s="255"/>
      <c r="B32" s="262"/>
      <c r="C32" s="266"/>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267"/>
      <c r="AL32" s="267"/>
      <c r="AM32" s="269"/>
      <c r="AN32" s="270"/>
      <c r="AO32" s="255"/>
      <c r="AP32" s="255"/>
      <c r="AQ32" s="255"/>
      <c r="AR32" s="255"/>
      <c r="AS32" s="255"/>
      <c r="BT32" s="121"/>
    </row>
    <row r="33" spans="1:72" ht="16.5" x14ac:dyDescent="0.3">
      <c r="A33" s="255"/>
      <c r="B33" s="262"/>
      <c r="C33" s="266"/>
      <c r="D33" s="316" t="s">
        <v>504</v>
      </c>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268"/>
      <c r="AL33" s="268"/>
      <c r="AM33" s="317"/>
      <c r="AN33" s="270"/>
      <c r="AO33" s="255"/>
      <c r="AP33" s="255"/>
      <c r="AQ33" s="255"/>
      <c r="AR33" s="255"/>
      <c r="AS33" s="255"/>
      <c r="BT33" s="121"/>
    </row>
    <row r="34" spans="1:72" ht="16.5" x14ac:dyDescent="0.25">
      <c r="A34" s="255"/>
      <c r="B34" s="262"/>
      <c r="C34" s="266"/>
      <c r="D34" s="779" t="s">
        <v>505</v>
      </c>
      <c r="E34" s="779"/>
      <c r="F34" s="779"/>
      <c r="G34" s="779"/>
      <c r="H34" s="779"/>
      <c r="I34" s="779"/>
      <c r="J34" s="779"/>
      <c r="K34" s="779"/>
      <c r="L34" s="779"/>
      <c r="M34" s="779"/>
      <c r="N34" s="779"/>
      <c r="O34" s="779"/>
      <c r="P34" s="779"/>
      <c r="Q34" s="779"/>
      <c r="R34" s="779"/>
      <c r="S34" s="779"/>
      <c r="T34" s="779"/>
      <c r="U34" s="779"/>
      <c r="V34" s="779"/>
      <c r="W34" s="779"/>
      <c r="X34" s="779"/>
      <c r="Y34" s="779"/>
      <c r="Z34" s="779"/>
      <c r="AA34" s="779"/>
      <c r="AB34" s="779"/>
      <c r="AC34" s="318"/>
      <c r="AD34" s="318"/>
      <c r="AE34" s="318"/>
      <c r="AF34" s="318"/>
      <c r="AG34" s="318"/>
      <c r="AH34" s="318"/>
      <c r="AI34" s="318"/>
      <c r="AJ34" s="318"/>
      <c r="AK34" s="318"/>
      <c r="AL34" s="318"/>
      <c r="AM34" s="319"/>
      <c r="AN34" s="270"/>
      <c r="AO34" s="255"/>
      <c r="AP34" s="255"/>
      <c r="AQ34" s="255"/>
      <c r="AR34" s="255"/>
      <c r="AS34" s="255"/>
      <c r="BT34" s="121"/>
    </row>
    <row r="35" spans="1:72" ht="16.5" x14ac:dyDescent="0.25">
      <c r="A35" s="255"/>
      <c r="B35" s="262"/>
      <c r="C35" s="320"/>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2"/>
      <c r="AN35" s="270"/>
      <c r="AO35" s="255"/>
      <c r="AP35" s="255"/>
      <c r="AQ35" s="255"/>
      <c r="AR35" s="255"/>
      <c r="AS35" s="255"/>
      <c r="BT35" s="121"/>
    </row>
    <row r="36" spans="1:72" ht="15" customHeight="1" x14ac:dyDescent="0.25">
      <c r="A36" s="255"/>
      <c r="B36" s="262"/>
      <c r="C36" s="267"/>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23"/>
      <c r="AN36" s="270"/>
      <c r="AO36" s="255"/>
      <c r="AP36" s="255"/>
      <c r="AQ36" s="255"/>
      <c r="AR36" s="255"/>
      <c r="AS36" s="255"/>
      <c r="BT36" s="121"/>
    </row>
    <row r="37" spans="1:72" ht="16.5" x14ac:dyDescent="0.25">
      <c r="A37" s="255"/>
      <c r="B37" s="262"/>
      <c r="C37" s="267"/>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0"/>
      <c r="AO37" s="255"/>
      <c r="AP37" s="255"/>
      <c r="AQ37" s="255"/>
      <c r="AR37" s="255"/>
      <c r="AS37" s="255"/>
      <c r="BT37" s="121"/>
    </row>
    <row r="38" spans="1:72" ht="16.5" x14ac:dyDescent="0.25">
      <c r="A38" s="255"/>
      <c r="B38" s="262"/>
      <c r="C38" s="263"/>
      <c r="D38" s="281" t="s">
        <v>506</v>
      </c>
      <c r="E38" s="324"/>
      <c r="F38" s="324"/>
      <c r="G38" s="324"/>
      <c r="H38" s="324"/>
      <c r="I38" s="324"/>
      <c r="J38" s="324"/>
      <c r="K38" s="324"/>
      <c r="L38" s="324"/>
      <c r="M38" s="324"/>
      <c r="N38" s="324"/>
      <c r="O38" s="324"/>
      <c r="P38" s="324"/>
      <c r="Q38" s="324"/>
      <c r="R38" s="324"/>
      <c r="S38" s="324"/>
      <c r="T38" s="324"/>
      <c r="U38" s="324"/>
      <c r="V38" s="324"/>
      <c r="W38" s="324"/>
      <c r="X38" s="324"/>
      <c r="Y38" s="324"/>
      <c r="Z38" s="324"/>
      <c r="AA38" s="324"/>
      <c r="AB38" s="324"/>
      <c r="AC38" s="324"/>
      <c r="AD38" s="324"/>
      <c r="AE38" s="324"/>
      <c r="AF38" s="324"/>
      <c r="AG38" s="324"/>
      <c r="AH38" s="324"/>
      <c r="AI38" s="324"/>
      <c r="AJ38" s="324"/>
      <c r="AK38" s="324"/>
      <c r="AL38" s="324"/>
      <c r="AM38" s="325"/>
      <c r="AN38" s="270"/>
      <c r="AO38" s="255"/>
      <c r="AP38" s="255"/>
      <c r="AQ38" s="255"/>
      <c r="AR38" s="255"/>
      <c r="AS38" s="255"/>
      <c r="BT38" s="121"/>
    </row>
    <row r="39" spans="1:72" ht="16.5" x14ac:dyDescent="0.25">
      <c r="A39" s="255"/>
      <c r="B39" s="262"/>
      <c r="C39" s="266"/>
      <c r="D39" s="273"/>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98"/>
      <c r="AN39" s="270"/>
      <c r="AO39" s="255"/>
      <c r="AP39" s="255"/>
      <c r="AQ39" s="255"/>
      <c r="AR39" s="255"/>
      <c r="AS39" s="255"/>
      <c r="BT39" s="121"/>
    </row>
    <row r="40" spans="1:72" ht="15" customHeight="1" x14ac:dyDescent="0.3">
      <c r="A40" s="255"/>
      <c r="B40" s="262"/>
      <c r="C40" s="266"/>
      <c r="D40" s="305" t="s">
        <v>507</v>
      </c>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267"/>
      <c r="AL40" s="267"/>
      <c r="AM40" s="269"/>
      <c r="AN40" s="270"/>
      <c r="AO40" s="255"/>
      <c r="AP40" s="255"/>
      <c r="AQ40" s="255"/>
      <c r="AR40" s="255"/>
      <c r="AS40" s="255"/>
      <c r="BT40" s="121"/>
    </row>
    <row r="41" spans="1:72" ht="15" customHeight="1" x14ac:dyDescent="0.25">
      <c r="A41" s="255"/>
      <c r="B41" s="262"/>
      <c r="C41" s="266"/>
      <c r="D41" s="274"/>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98"/>
      <c r="AN41" s="270"/>
      <c r="AO41" s="255"/>
      <c r="AP41" s="255"/>
      <c r="AQ41" s="255"/>
      <c r="AR41" s="255"/>
      <c r="AS41" s="255"/>
      <c r="BT41" s="121"/>
    </row>
    <row r="42" spans="1:72" ht="16.5" x14ac:dyDescent="0.3">
      <c r="A42" s="255"/>
      <c r="B42" s="262"/>
      <c r="C42" s="266"/>
      <c r="D42" s="273" t="s">
        <v>307</v>
      </c>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780" t="s">
        <v>508</v>
      </c>
      <c r="AI42" s="780"/>
      <c r="AJ42" s="780"/>
      <c r="AK42" s="780"/>
      <c r="AL42" s="780"/>
      <c r="AM42" s="278"/>
      <c r="AN42" s="270"/>
      <c r="AO42" s="255"/>
      <c r="AP42" s="255"/>
      <c r="AQ42" s="255"/>
      <c r="AR42" s="255"/>
      <c r="AS42" s="255"/>
      <c r="BT42" s="121"/>
    </row>
    <row r="43" spans="1:72" ht="15" customHeight="1" x14ac:dyDescent="0.25">
      <c r="A43" s="255"/>
      <c r="B43" s="262"/>
      <c r="C43" s="266"/>
      <c r="D43" s="731" t="s">
        <v>509</v>
      </c>
      <c r="E43" s="731"/>
      <c r="F43" s="731"/>
      <c r="G43" s="731"/>
      <c r="H43" s="731"/>
      <c r="I43" s="731"/>
      <c r="J43" s="731"/>
      <c r="K43" s="731"/>
      <c r="L43" s="731"/>
      <c r="M43" s="731"/>
      <c r="N43" s="731"/>
      <c r="O43" s="731"/>
      <c r="P43" s="731"/>
      <c r="Q43" s="731"/>
      <c r="R43" s="731"/>
      <c r="S43" s="731"/>
      <c r="T43" s="731"/>
      <c r="U43" s="731"/>
      <c r="V43" s="731"/>
      <c r="W43" s="731"/>
      <c r="X43" s="731"/>
      <c r="Y43" s="731"/>
      <c r="Z43" s="731"/>
      <c r="AA43" s="731"/>
      <c r="AB43" s="731"/>
      <c r="AC43" s="731"/>
      <c r="AD43" s="731"/>
      <c r="AE43" s="731"/>
      <c r="AF43" s="267"/>
      <c r="AG43" s="267"/>
      <c r="AH43" s="267"/>
      <c r="AI43" s="267"/>
      <c r="AJ43" s="267"/>
      <c r="AK43" s="267"/>
      <c r="AL43" s="267"/>
      <c r="AM43" s="269"/>
      <c r="AN43" s="270"/>
      <c r="AO43" s="255"/>
      <c r="AP43" s="255"/>
      <c r="AQ43" s="255"/>
      <c r="AR43" s="255"/>
      <c r="AS43" s="255"/>
      <c r="BT43" s="121"/>
    </row>
    <row r="44" spans="1:72" ht="15" customHeight="1" x14ac:dyDescent="0.3">
      <c r="A44" s="255"/>
      <c r="B44" s="262"/>
      <c r="C44" s="266"/>
      <c r="D44" s="731"/>
      <c r="E44" s="731"/>
      <c r="F44" s="731"/>
      <c r="G44" s="731"/>
      <c r="H44" s="731"/>
      <c r="I44" s="731"/>
      <c r="J44" s="731"/>
      <c r="K44" s="731"/>
      <c r="L44" s="731"/>
      <c r="M44" s="731"/>
      <c r="N44" s="731"/>
      <c r="O44" s="731"/>
      <c r="P44" s="731"/>
      <c r="Q44" s="731"/>
      <c r="R44" s="731"/>
      <c r="S44" s="731"/>
      <c r="T44" s="731"/>
      <c r="U44" s="731"/>
      <c r="V44" s="731"/>
      <c r="W44" s="731"/>
      <c r="X44" s="731"/>
      <c r="Y44" s="731"/>
      <c r="Z44" s="731"/>
      <c r="AA44" s="731"/>
      <c r="AB44" s="731"/>
      <c r="AC44" s="731"/>
      <c r="AD44" s="731"/>
      <c r="AE44" s="731"/>
      <c r="AF44" s="267"/>
      <c r="AG44" s="277"/>
      <c r="AH44" s="326">
        <v>3021</v>
      </c>
      <c r="AI44" s="781">
        <v>85</v>
      </c>
      <c r="AJ44" s="782"/>
      <c r="AK44" s="782"/>
      <c r="AL44" s="783"/>
      <c r="AM44" s="269"/>
      <c r="AN44" s="270"/>
      <c r="AO44" s="255"/>
      <c r="AP44" s="255"/>
      <c r="AQ44" s="255"/>
      <c r="AR44" s="255"/>
      <c r="AS44" s="255"/>
      <c r="BT44" s="121"/>
    </row>
    <row r="45" spans="1:72" ht="16.5" x14ac:dyDescent="0.25">
      <c r="A45" s="255"/>
      <c r="B45" s="262"/>
      <c r="C45" s="266"/>
      <c r="D45" s="731"/>
      <c r="E45" s="731"/>
      <c r="F45" s="731"/>
      <c r="G45" s="731"/>
      <c r="H45" s="731"/>
      <c r="I45" s="731"/>
      <c r="J45" s="731"/>
      <c r="K45" s="731"/>
      <c r="L45" s="731"/>
      <c r="M45" s="731"/>
      <c r="N45" s="731"/>
      <c r="O45" s="731"/>
      <c r="P45" s="731"/>
      <c r="Q45" s="731"/>
      <c r="R45" s="731"/>
      <c r="S45" s="731"/>
      <c r="T45" s="731"/>
      <c r="U45" s="731"/>
      <c r="V45" s="731"/>
      <c r="W45" s="731"/>
      <c r="X45" s="731"/>
      <c r="Y45" s="731"/>
      <c r="Z45" s="731"/>
      <c r="AA45" s="731"/>
      <c r="AB45" s="731"/>
      <c r="AC45" s="731"/>
      <c r="AD45" s="731"/>
      <c r="AE45" s="731"/>
      <c r="AF45" s="267"/>
      <c r="AG45" s="267"/>
      <c r="AH45" s="267"/>
      <c r="AI45" s="267"/>
      <c r="AJ45" s="267"/>
      <c r="AK45" s="267"/>
      <c r="AL45" s="267"/>
      <c r="AM45" s="269"/>
      <c r="AN45" s="270"/>
      <c r="AO45" s="255"/>
      <c r="AP45" s="255"/>
      <c r="AQ45" s="255"/>
      <c r="AR45" s="255"/>
      <c r="AS45" s="255"/>
      <c r="BT45" s="121"/>
    </row>
    <row r="46" spans="1:72" ht="15" customHeight="1" x14ac:dyDescent="0.25">
      <c r="A46" s="255"/>
      <c r="B46" s="262"/>
      <c r="C46" s="266"/>
      <c r="D46" s="273" t="s">
        <v>308</v>
      </c>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98"/>
      <c r="AN46" s="270"/>
      <c r="AO46" s="255"/>
      <c r="AP46" s="255"/>
      <c r="AQ46" s="255"/>
      <c r="AR46" s="255"/>
      <c r="AS46" s="255"/>
      <c r="BT46" s="121"/>
    </row>
    <row r="47" spans="1:72" ht="15" customHeight="1" x14ac:dyDescent="0.25">
      <c r="A47" s="255"/>
      <c r="B47" s="262"/>
      <c r="C47" s="266"/>
      <c r="D47" s="731" t="s">
        <v>510</v>
      </c>
      <c r="E47" s="731"/>
      <c r="F47" s="731"/>
      <c r="G47" s="731"/>
      <c r="H47" s="731"/>
      <c r="I47" s="731"/>
      <c r="J47" s="731"/>
      <c r="K47" s="731"/>
      <c r="L47" s="731"/>
      <c r="M47" s="731"/>
      <c r="N47" s="731"/>
      <c r="O47" s="731"/>
      <c r="P47" s="731"/>
      <c r="Q47" s="731"/>
      <c r="R47" s="731"/>
      <c r="S47" s="731"/>
      <c r="T47" s="731"/>
      <c r="U47" s="731"/>
      <c r="V47" s="731"/>
      <c r="W47" s="731"/>
      <c r="X47" s="731"/>
      <c r="Y47" s="731"/>
      <c r="Z47" s="731"/>
      <c r="AA47" s="731"/>
      <c r="AB47" s="731"/>
      <c r="AC47" s="731"/>
      <c r="AD47" s="731"/>
      <c r="AE47" s="731"/>
      <c r="AF47" s="274"/>
      <c r="AG47" s="274"/>
      <c r="AH47" s="274"/>
      <c r="AI47" s="274"/>
      <c r="AJ47" s="274"/>
      <c r="AK47" s="274"/>
      <c r="AL47" s="274"/>
      <c r="AM47" s="298"/>
      <c r="AN47" s="270"/>
      <c r="AO47" s="255"/>
      <c r="AP47" s="255"/>
      <c r="AQ47" s="255"/>
      <c r="AR47" s="255"/>
      <c r="AS47" s="255"/>
      <c r="BT47" s="121"/>
    </row>
    <row r="48" spans="1:72" ht="16.5" x14ac:dyDescent="0.3">
      <c r="A48" s="255"/>
      <c r="B48" s="262"/>
      <c r="C48" s="266"/>
      <c r="D48" s="731"/>
      <c r="E48" s="731"/>
      <c r="F48" s="731"/>
      <c r="G48" s="731"/>
      <c r="H48" s="731"/>
      <c r="I48" s="731"/>
      <c r="J48" s="731"/>
      <c r="K48" s="731"/>
      <c r="L48" s="731"/>
      <c r="M48" s="731"/>
      <c r="N48" s="731"/>
      <c r="O48" s="731"/>
      <c r="P48" s="731"/>
      <c r="Q48" s="731"/>
      <c r="R48" s="731"/>
      <c r="S48" s="731"/>
      <c r="T48" s="731"/>
      <c r="U48" s="731"/>
      <c r="V48" s="731"/>
      <c r="W48" s="731"/>
      <c r="X48" s="731"/>
      <c r="Y48" s="731"/>
      <c r="Z48" s="731"/>
      <c r="AA48" s="731"/>
      <c r="AB48" s="731"/>
      <c r="AC48" s="731"/>
      <c r="AD48" s="731"/>
      <c r="AE48" s="731"/>
      <c r="AF48" s="274"/>
      <c r="AG48" s="277"/>
      <c r="AH48" s="326">
        <v>3022</v>
      </c>
      <c r="AI48" s="784">
        <v>0</v>
      </c>
      <c r="AJ48" s="785"/>
      <c r="AK48" s="785"/>
      <c r="AL48" s="786"/>
      <c r="AM48" s="269"/>
      <c r="AN48" s="270"/>
      <c r="AO48" s="255"/>
      <c r="AP48" s="255"/>
      <c r="AQ48" s="255"/>
      <c r="AR48" s="255"/>
      <c r="AS48" s="255"/>
      <c r="BT48" s="121"/>
    </row>
    <row r="49" spans="1:72" ht="16.5" x14ac:dyDescent="0.25">
      <c r="A49" s="255"/>
      <c r="B49" s="262"/>
      <c r="C49" s="266"/>
      <c r="D49" s="731"/>
      <c r="E49" s="731"/>
      <c r="F49" s="731"/>
      <c r="G49" s="731"/>
      <c r="H49" s="731"/>
      <c r="I49" s="731"/>
      <c r="J49" s="731"/>
      <c r="K49" s="731"/>
      <c r="L49" s="731"/>
      <c r="M49" s="731"/>
      <c r="N49" s="731"/>
      <c r="O49" s="731"/>
      <c r="P49" s="731"/>
      <c r="Q49" s="731"/>
      <c r="R49" s="731"/>
      <c r="S49" s="731"/>
      <c r="T49" s="731"/>
      <c r="U49" s="731"/>
      <c r="V49" s="731"/>
      <c r="W49" s="731"/>
      <c r="X49" s="731"/>
      <c r="Y49" s="731"/>
      <c r="Z49" s="731"/>
      <c r="AA49" s="731"/>
      <c r="AB49" s="731"/>
      <c r="AC49" s="731"/>
      <c r="AD49" s="731"/>
      <c r="AE49" s="731"/>
      <c r="AF49" s="274"/>
      <c r="AG49" s="274"/>
      <c r="AH49" s="274"/>
      <c r="AI49" s="274"/>
      <c r="AJ49" s="274"/>
      <c r="AK49" s="274"/>
      <c r="AL49" s="274"/>
      <c r="AM49" s="298"/>
      <c r="AN49" s="270"/>
      <c r="AO49" s="255"/>
      <c r="AP49" s="255"/>
      <c r="AQ49" s="255"/>
      <c r="AR49" s="255"/>
      <c r="AS49" s="255"/>
      <c r="BT49" s="121"/>
    </row>
    <row r="50" spans="1:72" ht="16.5" x14ac:dyDescent="0.3">
      <c r="A50" s="255"/>
      <c r="B50" s="262"/>
      <c r="C50" s="266"/>
      <c r="D50" s="273" t="s">
        <v>309</v>
      </c>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5"/>
      <c r="AL50" s="305"/>
      <c r="AM50" s="327"/>
      <c r="AN50" s="270"/>
      <c r="AO50" s="255"/>
      <c r="AP50" s="255"/>
      <c r="AQ50" s="255"/>
      <c r="AR50" s="255"/>
      <c r="AS50" s="255"/>
      <c r="BT50" s="121"/>
    </row>
    <row r="51" spans="1:72" ht="16.5" x14ac:dyDescent="0.3">
      <c r="A51" s="255"/>
      <c r="B51" s="262"/>
      <c r="C51" s="266"/>
      <c r="D51" s="731" t="s">
        <v>511</v>
      </c>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c r="AD51" s="731"/>
      <c r="AE51" s="731"/>
      <c r="AF51" s="305"/>
      <c r="AG51" s="305"/>
      <c r="AH51" s="305"/>
      <c r="AI51" s="305"/>
      <c r="AJ51" s="305"/>
      <c r="AK51" s="305"/>
      <c r="AL51" s="267"/>
      <c r="AM51" s="269"/>
      <c r="AN51" s="270"/>
      <c r="AO51" s="255"/>
      <c r="AP51" s="255"/>
      <c r="AQ51" s="255"/>
      <c r="AR51" s="255"/>
      <c r="AS51" s="255"/>
      <c r="BT51" s="121"/>
    </row>
    <row r="52" spans="1:72" ht="16.5" x14ac:dyDescent="0.3">
      <c r="A52" s="255"/>
      <c r="B52" s="262"/>
      <c r="C52" s="266"/>
      <c r="D52" s="731"/>
      <c r="E52" s="731"/>
      <c r="F52" s="731"/>
      <c r="G52" s="731"/>
      <c r="H52" s="731"/>
      <c r="I52" s="731"/>
      <c r="J52" s="731"/>
      <c r="K52" s="731"/>
      <c r="L52" s="731"/>
      <c r="M52" s="731"/>
      <c r="N52" s="731"/>
      <c r="O52" s="731"/>
      <c r="P52" s="731"/>
      <c r="Q52" s="731"/>
      <c r="R52" s="731"/>
      <c r="S52" s="731"/>
      <c r="T52" s="731"/>
      <c r="U52" s="731"/>
      <c r="V52" s="731"/>
      <c r="W52" s="731"/>
      <c r="X52" s="731"/>
      <c r="Y52" s="731"/>
      <c r="Z52" s="731"/>
      <c r="AA52" s="731"/>
      <c r="AB52" s="731"/>
      <c r="AC52" s="731"/>
      <c r="AD52" s="731"/>
      <c r="AE52" s="731"/>
      <c r="AF52" s="305"/>
      <c r="AG52" s="277"/>
      <c r="AH52" s="328">
        <v>3023</v>
      </c>
      <c r="AI52" s="784">
        <v>15</v>
      </c>
      <c r="AJ52" s="785"/>
      <c r="AK52" s="785"/>
      <c r="AL52" s="786"/>
      <c r="AM52" s="269"/>
      <c r="AN52" s="270"/>
      <c r="AO52" s="255"/>
      <c r="AP52" s="255"/>
      <c r="AQ52" s="255"/>
      <c r="AR52" s="255"/>
      <c r="AS52" s="255"/>
      <c r="BT52" s="121"/>
    </row>
    <row r="53" spans="1:72" ht="16.5" x14ac:dyDescent="0.3">
      <c r="A53" s="255"/>
      <c r="B53" s="262"/>
      <c r="C53" s="266"/>
      <c r="D53" s="731"/>
      <c r="E53" s="731"/>
      <c r="F53" s="731"/>
      <c r="G53" s="731"/>
      <c r="H53" s="731"/>
      <c r="I53" s="731"/>
      <c r="J53" s="731"/>
      <c r="K53" s="731"/>
      <c r="L53" s="731"/>
      <c r="M53" s="731"/>
      <c r="N53" s="731"/>
      <c r="O53" s="731"/>
      <c r="P53" s="731"/>
      <c r="Q53" s="731"/>
      <c r="R53" s="731"/>
      <c r="S53" s="731"/>
      <c r="T53" s="731"/>
      <c r="U53" s="731"/>
      <c r="V53" s="731"/>
      <c r="W53" s="731"/>
      <c r="X53" s="731"/>
      <c r="Y53" s="731"/>
      <c r="Z53" s="731"/>
      <c r="AA53" s="731"/>
      <c r="AB53" s="731"/>
      <c r="AC53" s="731"/>
      <c r="AD53" s="731"/>
      <c r="AE53" s="731"/>
      <c r="AF53" s="305"/>
      <c r="AG53" s="305"/>
      <c r="AH53" s="305"/>
      <c r="AI53" s="305"/>
      <c r="AJ53" s="305"/>
      <c r="AK53" s="305"/>
      <c r="AL53" s="267"/>
      <c r="AM53" s="269"/>
      <c r="AN53" s="270"/>
      <c r="AO53" s="255"/>
      <c r="AP53" s="255"/>
      <c r="AQ53" s="255"/>
      <c r="AR53" s="255"/>
      <c r="AS53" s="255"/>
      <c r="BT53" s="121"/>
    </row>
    <row r="54" spans="1:72" ht="16.5" x14ac:dyDescent="0.3">
      <c r="A54" s="255"/>
      <c r="B54" s="262"/>
      <c r="C54" s="266"/>
      <c r="D54" s="329"/>
      <c r="E54" s="329"/>
      <c r="F54" s="329"/>
      <c r="G54" s="329"/>
      <c r="H54" s="329"/>
      <c r="I54" s="329"/>
      <c r="J54" s="329"/>
      <c r="K54" s="329"/>
      <c r="L54" s="329"/>
      <c r="M54" s="329"/>
      <c r="N54" s="329"/>
      <c r="O54" s="329"/>
      <c r="P54" s="329"/>
      <c r="Q54" s="329"/>
      <c r="R54" s="329"/>
      <c r="S54" s="329"/>
      <c r="T54" s="329"/>
      <c r="U54" s="329"/>
      <c r="V54" s="329"/>
      <c r="W54" s="329"/>
      <c r="X54" s="329"/>
      <c r="Y54" s="329"/>
      <c r="Z54" s="329"/>
      <c r="AA54" s="329"/>
      <c r="AB54" s="329"/>
      <c r="AC54" s="329"/>
      <c r="AD54" s="329"/>
      <c r="AE54" s="329"/>
      <c r="AF54" s="305"/>
      <c r="AG54" s="305"/>
      <c r="AH54" s="305"/>
      <c r="AI54" s="305"/>
      <c r="AJ54" s="305"/>
      <c r="AK54" s="305"/>
      <c r="AL54" s="267"/>
      <c r="AM54" s="269"/>
      <c r="AN54" s="270"/>
      <c r="AO54" s="255"/>
      <c r="AP54" s="255"/>
      <c r="AQ54" s="255"/>
      <c r="AR54" s="255"/>
      <c r="AS54" s="255"/>
      <c r="BT54" s="121"/>
    </row>
    <row r="55" spans="1:72" ht="36" customHeight="1" x14ac:dyDescent="0.3">
      <c r="A55" s="255"/>
      <c r="B55" s="262"/>
      <c r="C55" s="266"/>
      <c r="D55" s="330" t="s">
        <v>512</v>
      </c>
      <c r="E55" s="331"/>
      <c r="F55" s="331"/>
      <c r="G55" s="331"/>
      <c r="H55" s="331"/>
      <c r="I55" s="331"/>
      <c r="J55" s="331"/>
      <c r="K55" s="331"/>
      <c r="L55" s="331"/>
      <c r="M55" s="331"/>
      <c r="N55" s="287"/>
      <c r="O55" s="287"/>
      <c r="P55" s="287"/>
      <c r="Q55" s="287"/>
      <c r="R55" s="287"/>
      <c r="S55" s="287"/>
      <c r="T55" s="287"/>
      <c r="U55" s="287"/>
      <c r="V55" s="287"/>
      <c r="W55" s="331"/>
      <c r="X55" s="331"/>
      <c r="Y55" s="331"/>
      <c r="Z55" s="331"/>
      <c r="AA55" s="331"/>
      <c r="AB55" s="331"/>
      <c r="AC55" s="331"/>
      <c r="AD55" s="331"/>
      <c r="AE55" s="331"/>
      <c r="AF55" s="331"/>
      <c r="AG55" s="331"/>
      <c r="AH55" s="331"/>
      <c r="AI55" s="776">
        <v>1</v>
      </c>
      <c r="AJ55" s="777"/>
      <c r="AK55" s="777"/>
      <c r="AL55" s="778"/>
      <c r="AM55" s="332"/>
      <c r="AN55" s="270"/>
      <c r="AO55" s="255"/>
      <c r="AP55" s="255"/>
      <c r="AQ55" s="255"/>
      <c r="AR55" s="255"/>
      <c r="AS55" s="255"/>
      <c r="BT55" s="121"/>
    </row>
    <row r="56" spans="1:72" ht="17.25" thickBot="1" x14ac:dyDescent="0.35">
      <c r="A56" s="255"/>
      <c r="B56" s="262"/>
      <c r="C56" s="266"/>
      <c r="D56" s="305"/>
      <c r="E56" s="305"/>
      <c r="F56" s="305"/>
      <c r="G56" s="305"/>
      <c r="H56" s="305"/>
      <c r="I56" s="305"/>
      <c r="J56" s="305"/>
      <c r="K56" s="305"/>
      <c r="L56" s="305"/>
      <c r="M56" s="305"/>
      <c r="N56" s="333"/>
      <c r="O56" s="333"/>
      <c r="P56" s="333"/>
      <c r="Q56" s="333"/>
      <c r="R56" s="333"/>
      <c r="S56" s="333"/>
      <c r="T56" s="333"/>
      <c r="U56" s="333"/>
      <c r="V56" s="333"/>
      <c r="W56" s="305"/>
      <c r="X56" s="305"/>
      <c r="Y56" s="305"/>
      <c r="Z56" s="305"/>
      <c r="AA56" s="305"/>
      <c r="AB56" s="305"/>
      <c r="AC56" s="305"/>
      <c r="AD56" s="305"/>
      <c r="AE56" s="305"/>
      <c r="AF56" s="305"/>
      <c r="AG56" s="305"/>
      <c r="AH56" s="305"/>
      <c r="AI56" s="305"/>
      <c r="AJ56" s="305"/>
      <c r="AK56" s="274"/>
      <c r="AL56" s="274"/>
      <c r="AM56" s="298"/>
      <c r="AN56" s="270"/>
      <c r="AO56" s="255"/>
      <c r="AP56" s="255"/>
      <c r="AQ56" s="255"/>
      <c r="AR56" s="255"/>
      <c r="AS56" s="255"/>
      <c r="BT56" s="121"/>
    </row>
    <row r="57" spans="1:72" ht="16.5" x14ac:dyDescent="0.25">
      <c r="A57" s="255"/>
      <c r="B57" s="334"/>
      <c r="C57" s="335"/>
      <c r="D57" s="335"/>
      <c r="E57" s="335"/>
      <c r="F57" s="335"/>
      <c r="G57" s="335"/>
      <c r="H57" s="335"/>
      <c r="I57" s="335"/>
      <c r="J57" s="335"/>
      <c r="K57" s="335"/>
      <c r="L57" s="335"/>
      <c r="M57" s="335"/>
      <c r="N57" s="335"/>
      <c r="O57" s="335"/>
      <c r="P57" s="335"/>
      <c r="Q57" s="335"/>
      <c r="R57" s="335"/>
      <c r="S57" s="335"/>
      <c r="T57" s="335"/>
      <c r="U57" s="335"/>
      <c r="V57" s="335"/>
      <c r="W57" s="335"/>
      <c r="X57" s="335"/>
      <c r="Y57" s="335"/>
      <c r="Z57" s="335"/>
      <c r="AA57" s="335"/>
      <c r="AB57" s="335"/>
      <c r="AC57" s="335"/>
      <c r="AD57" s="335"/>
      <c r="AE57" s="335"/>
      <c r="AF57" s="335"/>
      <c r="AG57" s="335"/>
      <c r="AH57" s="335"/>
      <c r="AI57" s="335"/>
      <c r="AJ57" s="335"/>
      <c r="AK57" s="335"/>
      <c r="AL57" s="335"/>
      <c r="AM57" s="335"/>
      <c r="AN57" s="336"/>
      <c r="AO57" s="255"/>
      <c r="AP57" s="255"/>
      <c r="AQ57" s="255"/>
      <c r="AR57" s="255"/>
      <c r="AS57" s="255"/>
      <c r="BT57" s="121"/>
    </row>
    <row r="58" spans="1:72" ht="16.5" x14ac:dyDescent="0.25">
      <c r="A58" s="255"/>
      <c r="B58" s="337"/>
      <c r="C58" s="338"/>
      <c r="D58" s="301" t="s">
        <v>513</v>
      </c>
      <c r="E58" s="288"/>
      <c r="F58" s="288"/>
      <c r="G58" s="301"/>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M58" s="339"/>
      <c r="AN58" s="270"/>
      <c r="AO58" s="255"/>
      <c r="AP58" s="255"/>
      <c r="AQ58" s="255"/>
      <c r="AR58" s="255"/>
      <c r="AS58" s="255"/>
      <c r="BT58" s="121"/>
    </row>
    <row r="59" spans="1:72" ht="16.5" x14ac:dyDescent="0.25">
      <c r="A59" s="255"/>
      <c r="B59" s="262"/>
      <c r="C59" s="266"/>
      <c r="D59" s="267"/>
      <c r="E59" s="267"/>
      <c r="F59" s="267"/>
      <c r="G59" s="268"/>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267"/>
      <c r="AM59" s="269"/>
      <c r="AN59" s="270"/>
      <c r="AO59" s="255"/>
      <c r="AP59" s="255"/>
      <c r="AQ59" s="255"/>
      <c r="AR59" s="255"/>
      <c r="AS59" s="255"/>
      <c r="BT59" s="121"/>
    </row>
    <row r="60" spans="1:72" ht="16.5" x14ac:dyDescent="0.25">
      <c r="A60" s="255"/>
      <c r="B60" s="262"/>
      <c r="C60" s="266"/>
      <c r="D60" s="731" t="s">
        <v>514</v>
      </c>
      <c r="E60" s="731"/>
      <c r="F60" s="731"/>
      <c r="G60" s="731"/>
      <c r="H60" s="731"/>
      <c r="I60" s="731"/>
      <c r="J60" s="731"/>
      <c r="K60" s="731"/>
      <c r="L60" s="731"/>
      <c r="M60" s="731"/>
      <c r="N60" s="731"/>
      <c r="O60" s="731"/>
      <c r="P60" s="731"/>
      <c r="Q60" s="731"/>
      <c r="R60" s="731"/>
      <c r="S60" s="731"/>
      <c r="T60" s="731"/>
      <c r="U60" s="731"/>
      <c r="V60" s="731"/>
      <c r="W60" s="731"/>
      <c r="X60" s="731"/>
      <c r="Y60" s="731"/>
      <c r="Z60" s="731"/>
      <c r="AA60" s="731"/>
      <c r="AB60" s="731"/>
      <c r="AC60" s="731"/>
      <c r="AD60" s="731"/>
      <c r="AE60" s="731"/>
      <c r="AF60" s="731"/>
      <c r="AG60" s="731"/>
      <c r="AH60" s="731"/>
      <c r="AI60" s="731"/>
      <c r="AJ60" s="731"/>
      <c r="AK60" s="731"/>
      <c r="AL60" s="731"/>
      <c r="AM60" s="271"/>
      <c r="AN60" s="270"/>
      <c r="AO60" s="255"/>
      <c r="AP60" s="255"/>
      <c r="AQ60" s="255"/>
      <c r="AR60" s="255"/>
      <c r="AS60" s="255"/>
      <c r="BT60" s="121"/>
    </row>
    <row r="61" spans="1:72" ht="16.5" x14ac:dyDescent="0.25">
      <c r="A61" s="255"/>
      <c r="B61" s="262"/>
      <c r="C61" s="266"/>
      <c r="D61" s="731"/>
      <c r="E61" s="731"/>
      <c r="F61" s="731"/>
      <c r="G61" s="731"/>
      <c r="H61" s="731"/>
      <c r="I61" s="731"/>
      <c r="J61" s="731"/>
      <c r="K61" s="731"/>
      <c r="L61" s="731"/>
      <c r="M61" s="731"/>
      <c r="N61" s="731"/>
      <c r="O61" s="731"/>
      <c r="P61" s="731"/>
      <c r="Q61" s="731"/>
      <c r="R61" s="731"/>
      <c r="S61" s="731"/>
      <c r="T61" s="731"/>
      <c r="U61" s="731"/>
      <c r="V61" s="731"/>
      <c r="W61" s="731"/>
      <c r="X61" s="731"/>
      <c r="Y61" s="731"/>
      <c r="Z61" s="731"/>
      <c r="AA61" s="731"/>
      <c r="AB61" s="731"/>
      <c r="AC61" s="731"/>
      <c r="AD61" s="731"/>
      <c r="AE61" s="731"/>
      <c r="AF61" s="731"/>
      <c r="AG61" s="731"/>
      <c r="AH61" s="731"/>
      <c r="AI61" s="731"/>
      <c r="AJ61" s="731"/>
      <c r="AK61" s="731"/>
      <c r="AL61" s="731"/>
      <c r="AM61" s="271"/>
      <c r="AN61" s="270"/>
      <c r="AO61" s="255"/>
      <c r="AP61" s="255"/>
      <c r="AQ61" s="255"/>
      <c r="AR61" s="255"/>
      <c r="AS61" s="255"/>
      <c r="BT61" s="121"/>
    </row>
    <row r="62" spans="1:72" ht="16.5" x14ac:dyDescent="0.25">
      <c r="A62" s="255"/>
      <c r="B62" s="262"/>
      <c r="C62" s="266"/>
      <c r="D62" s="268"/>
      <c r="E62" s="267"/>
      <c r="F62" s="267"/>
      <c r="G62" s="268"/>
      <c r="H62" s="268"/>
      <c r="I62" s="268"/>
      <c r="J62" s="268"/>
      <c r="K62" s="268"/>
      <c r="L62" s="268"/>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67"/>
      <c r="AL62" s="267"/>
      <c r="AM62" s="269"/>
      <c r="AN62" s="270"/>
      <c r="AO62" s="255"/>
      <c r="AP62" s="255"/>
      <c r="AQ62" s="255"/>
      <c r="AR62" s="255"/>
      <c r="AS62" s="255"/>
      <c r="BT62" s="121"/>
    </row>
    <row r="63" spans="1:72" ht="16.5" x14ac:dyDescent="0.25">
      <c r="A63" s="255"/>
      <c r="B63" s="262"/>
      <c r="C63" s="266"/>
      <c r="D63" s="273" t="s">
        <v>310</v>
      </c>
      <c r="E63" s="273"/>
      <c r="F63" s="273"/>
      <c r="G63" s="273"/>
      <c r="H63" s="273"/>
      <c r="I63" s="273"/>
      <c r="J63" s="273"/>
      <c r="K63" s="273"/>
      <c r="L63" s="273"/>
      <c r="M63" s="273"/>
      <c r="N63" s="273"/>
      <c r="O63" s="273"/>
      <c r="P63" s="273"/>
      <c r="Q63" s="274"/>
      <c r="R63" s="274"/>
      <c r="S63" s="274"/>
      <c r="T63" s="275"/>
      <c r="U63" s="275"/>
      <c r="V63" s="275"/>
      <c r="W63" s="275"/>
      <c r="X63" s="275"/>
      <c r="Y63" s="275"/>
      <c r="Z63" s="275"/>
      <c r="AA63" s="275"/>
      <c r="AB63" s="275"/>
      <c r="AC63" s="275"/>
      <c r="AD63" s="275"/>
      <c r="AE63" s="275"/>
      <c r="AF63" s="275"/>
      <c r="AG63" s="732" t="s">
        <v>488</v>
      </c>
      <c r="AH63" s="733"/>
      <c r="AI63" s="733"/>
      <c r="AJ63" s="733"/>
      <c r="AK63" s="733"/>
      <c r="AL63" s="734"/>
      <c r="AM63" s="276"/>
      <c r="AN63" s="270"/>
      <c r="AO63" s="255"/>
      <c r="AP63" s="255"/>
      <c r="AQ63" s="255"/>
      <c r="AR63" s="255"/>
      <c r="AS63" s="255"/>
      <c r="BT63" s="121"/>
    </row>
    <row r="64" spans="1:72" ht="16.5" x14ac:dyDescent="0.25">
      <c r="A64" s="255"/>
      <c r="B64" s="262"/>
      <c r="C64" s="266"/>
      <c r="D64" s="273" t="s">
        <v>515</v>
      </c>
      <c r="E64" s="273"/>
      <c r="F64" s="273"/>
      <c r="G64" s="273"/>
      <c r="H64" s="273"/>
      <c r="I64" s="273"/>
      <c r="J64" s="273"/>
      <c r="K64" s="273"/>
      <c r="L64" s="273"/>
      <c r="M64" s="273"/>
      <c r="N64" s="273"/>
      <c r="O64" s="273"/>
      <c r="P64" s="273"/>
      <c r="Q64" s="274"/>
      <c r="R64" s="274"/>
      <c r="S64" s="274"/>
      <c r="T64" s="275"/>
      <c r="U64" s="275"/>
      <c r="V64" s="275"/>
      <c r="W64" s="275"/>
      <c r="X64" s="275"/>
      <c r="Y64" s="275"/>
      <c r="Z64" s="275"/>
      <c r="AA64" s="275"/>
      <c r="AB64" s="275"/>
      <c r="AC64" s="275"/>
      <c r="AD64" s="275"/>
      <c r="AE64" s="275"/>
      <c r="AF64" s="275"/>
      <c r="AG64" s="340"/>
      <c r="AH64" s="340"/>
      <c r="AI64" s="340"/>
      <c r="AJ64" s="340"/>
      <c r="AK64" s="340"/>
      <c r="AL64" s="340"/>
      <c r="AM64" s="276"/>
      <c r="AN64" s="270"/>
      <c r="AO64" s="255"/>
      <c r="AP64" s="255"/>
      <c r="AQ64" s="255"/>
      <c r="AR64" s="255"/>
      <c r="AS64" s="255"/>
      <c r="BT64" s="121"/>
    </row>
    <row r="65" spans="1:72" ht="16.5" x14ac:dyDescent="0.3">
      <c r="A65" s="255"/>
      <c r="B65" s="262"/>
      <c r="C65" s="266"/>
      <c r="D65" s="341" t="s">
        <v>516</v>
      </c>
      <c r="E65" s="324"/>
      <c r="F65" s="324"/>
      <c r="G65" s="324"/>
      <c r="H65" s="324"/>
      <c r="I65" s="324"/>
      <c r="J65" s="324"/>
      <c r="K65" s="257"/>
      <c r="L65" s="257"/>
      <c r="M65" s="257"/>
      <c r="N65" s="257"/>
      <c r="O65" s="257"/>
      <c r="P65" s="257"/>
      <c r="Q65" s="282"/>
      <c r="R65" s="257"/>
      <c r="S65" s="257"/>
      <c r="T65" s="257"/>
      <c r="U65" s="257"/>
      <c r="V65" s="257"/>
      <c r="W65" s="257"/>
      <c r="X65" s="257"/>
      <c r="Y65" s="257"/>
      <c r="Z65" s="257"/>
      <c r="AA65" s="257"/>
      <c r="AB65" s="257"/>
      <c r="AC65" s="257"/>
      <c r="AD65" s="257"/>
      <c r="AE65" s="257"/>
      <c r="AF65" s="257"/>
      <c r="AG65" s="302">
        <v>3024</v>
      </c>
      <c r="AH65" s="787">
        <v>0</v>
      </c>
      <c r="AI65" s="787"/>
      <c r="AJ65" s="787"/>
      <c r="AK65" s="787"/>
      <c r="AL65" s="788"/>
      <c r="AM65" s="303"/>
      <c r="AN65" s="270"/>
      <c r="AO65" s="255"/>
      <c r="AP65" s="255"/>
      <c r="AQ65" s="255"/>
      <c r="AR65" s="255"/>
      <c r="AS65" s="255"/>
      <c r="BT65" s="121"/>
    </row>
    <row r="66" spans="1:72" ht="16.5" x14ac:dyDescent="0.3">
      <c r="A66" s="255"/>
      <c r="B66" s="262"/>
      <c r="C66" s="266"/>
      <c r="D66" s="299" t="s">
        <v>517</v>
      </c>
      <c r="E66" s="300"/>
      <c r="F66" s="300"/>
      <c r="G66" s="300"/>
      <c r="H66" s="300"/>
      <c r="I66" s="300"/>
      <c r="J66" s="300"/>
      <c r="K66" s="288"/>
      <c r="L66" s="288"/>
      <c r="M66" s="288"/>
      <c r="N66" s="288"/>
      <c r="O66" s="288"/>
      <c r="P66" s="288"/>
      <c r="Q66" s="289"/>
      <c r="R66" s="288"/>
      <c r="S66" s="288"/>
      <c r="T66" s="288"/>
      <c r="U66" s="288"/>
      <c r="V66" s="288"/>
      <c r="W66" s="288"/>
      <c r="X66" s="288"/>
      <c r="Y66" s="288"/>
      <c r="Z66" s="288"/>
      <c r="AA66" s="288"/>
      <c r="AB66" s="288"/>
      <c r="AC66" s="288"/>
      <c r="AD66" s="288"/>
      <c r="AE66" s="288"/>
      <c r="AF66" s="288"/>
      <c r="AG66" s="302">
        <v>3025</v>
      </c>
      <c r="AH66" s="789">
        <v>0</v>
      </c>
      <c r="AI66" s="789"/>
      <c r="AJ66" s="789"/>
      <c r="AK66" s="789"/>
      <c r="AL66" s="790"/>
      <c r="AM66" s="303"/>
      <c r="AN66" s="270"/>
      <c r="AO66" s="255"/>
      <c r="AP66" s="255"/>
      <c r="AQ66" s="255"/>
      <c r="AR66" s="255"/>
      <c r="AS66" s="255"/>
      <c r="BT66" s="121"/>
    </row>
    <row r="67" spans="1:72" ht="16.5" x14ac:dyDescent="0.3">
      <c r="A67" s="255"/>
      <c r="B67" s="262"/>
      <c r="C67" s="266"/>
      <c r="D67" s="338" t="s">
        <v>518</v>
      </c>
      <c r="E67" s="288"/>
      <c r="F67" s="288"/>
      <c r="G67" s="288"/>
      <c r="H67" s="288"/>
      <c r="I67" s="288"/>
      <c r="J67" s="288"/>
      <c r="K67" s="288"/>
      <c r="L67" s="288"/>
      <c r="M67" s="288"/>
      <c r="N67" s="288"/>
      <c r="O67" s="288"/>
      <c r="P67" s="288"/>
      <c r="Q67" s="289"/>
      <c r="R67" s="288"/>
      <c r="S67" s="288"/>
      <c r="T67" s="288"/>
      <c r="U67" s="288"/>
      <c r="V67" s="288"/>
      <c r="W67" s="288"/>
      <c r="X67" s="288"/>
      <c r="Y67" s="288"/>
      <c r="Z67" s="288"/>
      <c r="AA67" s="288"/>
      <c r="AB67" s="288"/>
      <c r="AC67" s="288"/>
      <c r="AD67" s="288"/>
      <c r="AE67" s="288"/>
      <c r="AF67" s="288"/>
      <c r="AG67" s="342">
        <v>3026</v>
      </c>
      <c r="AH67" s="789">
        <v>0</v>
      </c>
      <c r="AI67" s="789"/>
      <c r="AJ67" s="789"/>
      <c r="AK67" s="789"/>
      <c r="AL67" s="790"/>
      <c r="AM67" s="303"/>
      <c r="AN67" s="270"/>
      <c r="AO67" s="255"/>
      <c r="AP67" s="255"/>
      <c r="AQ67" s="255"/>
      <c r="AR67" s="255"/>
      <c r="AS67" s="255"/>
      <c r="BT67" s="121"/>
    </row>
    <row r="68" spans="1:72" ht="16.5" x14ac:dyDescent="0.3">
      <c r="A68" s="255"/>
      <c r="B68" s="262"/>
      <c r="C68" s="266"/>
      <c r="D68" s="299" t="s">
        <v>519</v>
      </c>
      <c r="E68" s="288"/>
      <c r="F68" s="288"/>
      <c r="G68" s="288"/>
      <c r="H68" s="288"/>
      <c r="I68" s="288"/>
      <c r="J68" s="288"/>
      <c r="K68" s="288"/>
      <c r="L68" s="288"/>
      <c r="M68" s="288"/>
      <c r="N68" s="288"/>
      <c r="O68" s="288"/>
      <c r="P68" s="288"/>
      <c r="Q68" s="289"/>
      <c r="R68" s="288"/>
      <c r="S68" s="288"/>
      <c r="T68" s="288"/>
      <c r="U68" s="288"/>
      <c r="V68" s="288"/>
      <c r="W68" s="288"/>
      <c r="X68" s="288"/>
      <c r="Y68" s="288"/>
      <c r="Z68" s="288"/>
      <c r="AA68" s="288"/>
      <c r="AB68" s="288"/>
      <c r="AC68" s="288"/>
      <c r="AD68" s="288"/>
      <c r="AE68" s="288"/>
      <c r="AF68" s="288"/>
      <c r="AG68" s="342">
        <v>3027</v>
      </c>
      <c r="AH68" s="789">
        <v>0</v>
      </c>
      <c r="AI68" s="789"/>
      <c r="AJ68" s="789"/>
      <c r="AK68" s="789"/>
      <c r="AL68" s="790"/>
      <c r="AM68" s="303"/>
      <c r="AN68" s="270"/>
      <c r="AO68" s="255"/>
      <c r="AP68" s="255"/>
      <c r="AQ68" s="255"/>
      <c r="AR68" s="255"/>
      <c r="AS68" s="255"/>
      <c r="BT68" s="121"/>
    </row>
    <row r="69" spans="1:72" ht="16.5" x14ac:dyDescent="0.3">
      <c r="A69" s="255"/>
      <c r="B69" s="262"/>
      <c r="C69" s="266"/>
      <c r="D69" s="299" t="s">
        <v>520</v>
      </c>
      <c r="E69" s="288"/>
      <c r="F69" s="288"/>
      <c r="G69" s="288"/>
      <c r="H69" s="288"/>
      <c r="I69" s="288"/>
      <c r="J69" s="288"/>
      <c r="K69" s="288"/>
      <c r="L69" s="288"/>
      <c r="M69" s="288"/>
      <c r="N69" s="288"/>
      <c r="O69" s="288"/>
      <c r="P69" s="288"/>
      <c r="Q69" s="289"/>
      <c r="R69" s="288"/>
      <c r="S69" s="288"/>
      <c r="T69" s="288"/>
      <c r="U69" s="288"/>
      <c r="V69" s="288"/>
      <c r="W69" s="288"/>
      <c r="X69" s="288"/>
      <c r="Y69" s="288"/>
      <c r="Z69" s="288"/>
      <c r="AA69" s="288"/>
      <c r="AB69" s="288"/>
      <c r="AC69" s="288"/>
      <c r="AD69" s="288"/>
      <c r="AE69" s="288"/>
      <c r="AF69" s="288"/>
      <c r="AG69" s="342">
        <v>3029</v>
      </c>
      <c r="AH69" s="789">
        <v>0</v>
      </c>
      <c r="AI69" s="789"/>
      <c r="AJ69" s="789"/>
      <c r="AK69" s="789"/>
      <c r="AL69" s="790"/>
      <c r="AM69" s="303"/>
      <c r="AN69" s="270"/>
      <c r="AO69" s="255"/>
      <c r="AP69" s="255"/>
      <c r="AQ69" s="255"/>
      <c r="AR69" s="255"/>
      <c r="AS69" s="255"/>
      <c r="BT69" s="121"/>
    </row>
    <row r="70" spans="1:72" ht="17.25" thickBot="1" x14ac:dyDescent="0.35">
      <c r="A70" s="255"/>
      <c r="B70" s="262"/>
      <c r="C70" s="266"/>
      <c r="D70" s="299" t="s">
        <v>521</v>
      </c>
      <c r="E70" s="300"/>
      <c r="F70" s="300"/>
      <c r="G70" s="300"/>
      <c r="H70" s="300"/>
      <c r="I70" s="300"/>
      <c r="J70" s="300"/>
      <c r="K70" s="300"/>
      <c r="L70" s="300"/>
      <c r="M70" s="300"/>
      <c r="N70" s="300"/>
      <c r="O70" s="300"/>
      <c r="P70" s="300"/>
      <c r="Q70" s="289"/>
      <c r="R70" s="288"/>
      <c r="S70" s="288"/>
      <c r="T70" s="288"/>
      <c r="U70" s="288"/>
      <c r="V70" s="288"/>
      <c r="W70" s="288"/>
      <c r="X70" s="288"/>
      <c r="Y70" s="288"/>
      <c r="Z70" s="288"/>
      <c r="AA70" s="288"/>
      <c r="AB70" s="288"/>
      <c r="AC70" s="288"/>
      <c r="AD70" s="288"/>
      <c r="AE70" s="288"/>
      <c r="AF70" s="288"/>
      <c r="AG70" s="342">
        <v>3030</v>
      </c>
      <c r="AH70" s="789">
        <v>0</v>
      </c>
      <c r="AI70" s="789"/>
      <c r="AJ70" s="789"/>
      <c r="AK70" s="789"/>
      <c r="AL70" s="790"/>
      <c r="AM70" s="303"/>
      <c r="AN70" s="270"/>
      <c r="AO70" s="255"/>
      <c r="AP70" s="255"/>
      <c r="AQ70" s="255"/>
      <c r="AR70" s="255"/>
      <c r="AS70" s="255"/>
      <c r="BT70" s="121"/>
    </row>
    <row r="71" spans="1:72" ht="17.25" thickBot="1" x14ac:dyDescent="0.35">
      <c r="A71" s="255"/>
      <c r="B71" s="262"/>
      <c r="C71" s="266"/>
      <c r="D71" s="310" t="s">
        <v>522</v>
      </c>
      <c r="E71" s="311"/>
      <c r="F71" s="312"/>
      <c r="G71" s="312"/>
      <c r="H71" s="312"/>
      <c r="I71" s="312"/>
      <c r="J71" s="312"/>
      <c r="K71" s="313"/>
      <c r="L71" s="313"/>
      <c r="M71" s="313"/>
      <c r="N71" s="313"/>
      <c r="O71" s="313"/>
      <c r="P71" s="313"/>
      <c r="Q71" s="314"/>
      <c r="R71" s="314"/>
      <c r="S71" s="314"/>
      <c r="T71" s="314"/>
      <c r="U71" s="315"/>
      <c r="V71" s="314"/>
      <c r="W71" s="314"/>
      <c r="X71" s="314"/>
      <c r="Y71" s="314"/>
      <c r="Z71" s="314"/>
      <c r="AA71" s="314"/>
      <c r="AB71" s="314"/>
      <c r="AC71" s="314"/>
      <c r="AD71" s="314"/>
      <c r="AE71" s="314"/>
      <c r="AF71" s="314"/>
      <c r="AG71" s="295">
        <v>3100</v>
      </c>
      <c r="AH71" s="791">
        <v>0</v>
      </c>
      <c r="AI71" s="791"/>
      <c r="AJ71" s="791"/>
      <c r="AK71" s="791"/>
      <c r="AL71" s="792"/>
      <c r="AM71" s="303"/>
      <c r="AN71" s="270"/>
      <c r="AO71" s="255"/>
      <c r="AP71" s="255"/>
      <c r="AQ71" s="255"/>
      <c r="AR71" s="255"/>
      <c r="AS71" s="255"/>
      <c r="BT71" s="121"/>
    </row>
    <row r="72" spans="1:72" ht="16.5" x14ac:dyDescent="0.3">
      <c r="A72" s="255"/>
      <c r="B72" s="262"/>
      <c r="C72" s="266"/>
      <c r="D72" s="273" t="s">
        <v>523</v>
      </c>
      <c r="E72" s="273"/>
      <c r="F72" s="273"/>
      <c r="G72" s="273"/>
      <c r="H72" s="273"/>
      <c r="I72" s="273"/>
      <c r="J72" s="273"/>
      <c r="K72" s="273"/>
      <c r="L72" s="273"/>
      <c r="M72" s="277"/>
      <c r="N72" s="273"/>
      <c r="O72" s="273"/>
      <c r="P72" s="273"/>
      <c r="Q72" s="273"/>
      <c r="R72" s="273"/>
      <c r="S72" s="273"/>
      <c r="T72" s="273"/>
      <c r="U72" s="273"/>
      <c r="V72" s="273"/>
      <c r="W72" s="273"/>
      <c r="X72" s="273"/>
      <c r="Y72" s="273"/>
      <c r="Z72" s="273"/>
      <c r="AA72" s="273"/>
      <c r="AB72" s="273"/>
      <c r="AC72" s="273"/>
      <c r="AD72" s="273"/>
      <c r="AE72" s="273"/>
      <c r="AF72" s="273"/>
      <c r="AG72" s="343"/>
      <c r="AH72" s="344"/>
      <c r="AI72" s="345"/>
      <c r="AJ72" s="345"/>
      <c r="AK72" s="345"/>
      <c r="AL72" s="345"/>
      <c r="AM72" s="346"/>
      <c r="AN72" s="270"/>
      <c r="AO72" s="255"/>
      <c r="AP72" s="255"/>
      <c r="AQ72" s="255"/>
      <c r="AR72" s="255"/>
      <c r="AS72" s="255"/>
      <c r="BT72" s="121"/>
    </row>
    <row r="73" spans="1:72" ht="16.5" x14ac:dyDescent="0.25">
      <c r="A73" s="255"/>
      <c r="B73" s="262"/>
      <c r="C73" s="266"/>
      <c r="D73" s="263" t="s">
        <v>524</v>
      </c>
      <c r="E73" s="324"/>
      <c r="F73" s="324"/>
      <c r="G73" s="324"/>
      <c r="H73" s="324"/>
      <c r="I73" s="324"/>
      <c r="J73" s="324"/>
      <c r="K73" s="324"/>
      <c r="L73" s="324"/>
      <c r="M73" s="324"/>
      <c r="N73" s="324"/>
      <c r="O73" s="324"/>
      <c r="P73" s="324"/>
      <c r="Q73" s="324"/>
      <c r="R73" s="324"/>
      <c r="S73" s="324"/>
      <c r="T73" s="324"/>
      <c r="U73" s="324"/>
      <c r="V73" s="324"/>
      <c r="W73" s="324"/>
      <c r="X73" s="324"/>
      <c r="Y73" s="324"/>
      <c r="Z73" s="324"/>
      <c r="AA73" s="324"/>
      <c r="AB73" s="324"/>
      <c r="AC73" s="324"/>
      <c r="AD73" s="324"/>
      <c r="AE73" s="324"/>
      <c r="AF73" s="324"/>
      <c r="AG73" s="302">
        <v>3101</v>
      </c>
      <c r="AH73" s="793">
        <v>0</v>
      </c>
      <c r="AI73" s="793"/>
      <c r="AJ73" s="793"/>
      <c r="AK73" s="793"/>
      <c r="AL73" s="794"/>
      <c r="AM73" s="269"/>
      <c r="AN73" s="270"/>
      <c r="AO73" s="255"/>
      <c r="AP73" s="255"/>
      <c r="AQ73" s="255"/>
      <c r="AR73" s="255"/>
      <c r="AS73" s="255"/>
      <c r="BT73" s="121"/>
    </row>
    <row r="74" spans="1:72" ht="16.5" x14ac:dyDescent="0.3">
      <c r="A74" s="255"/>
      <c r="B74" s="262"/>
      <c r="C74" s="266"/>
      <c r="D74" s="299" t="s">
        <v>525</v>
      </c>
      <c r="E74" s="300"/>
      <c r="F74" s="300"/>
      <c r="G74" s="300"/>
      <c r="H74" s="300"/>
      <c r="I74" s="300"/>
      <c r="J74" s="300"/>
      <c r="K74" s="331"/>
      <c r="L74" s="331"/>
      <c r="M74" s="331"/>
      <c r="N74" s="331"/>
      <c r="O74" s="331"/>
      <c r="P74" s="331"/>
      <c r="Q74" s="331"/>
      <c r="R74" s="331"/>
      <c r="S74" s="331"/>
      <c r="T74" s="331"/>
      <c r="U74" s="331"/>
      <c r="V74" s="331"/>
      <c r="W74" s="331"/>
      <c r="X74" s="331"/>
      <c r="Y74" s="331"/>
      <c r="Z74" s="331"/>
      <c r="AA74" s="331"/>
      <c r="AB74" s="331"/>
      <c r="AC74" s="331"/>
      <c r="AD74" s="331"/>
      <c r="AE74" s="331"/>
      <c r="AF74" s="331"/>
      <c r="AG74" s="302">
        <v>3102</v>
      </c>
      <c r="AH74" s="793">
        <v>0</v>
      </c>
      <c r="AI74" s="793"/>
      <c r="AJ74" s="793"/>
      <c r="AK74" s="793"/>
      <c r="AL74" s="794"/>
      <c r="AM74" s="303"/>
      <c r="AN74" s="270"/>
      <c r="AO74" s="255"/>
      <c r="AP74" s="255"/>
      <c r="AQ74" s="255"/>
      <c r="AR74" s="255"/>
      <c r="AS74" s="255"/>
      <c r="BT74" s="121"/>
    </row>
    <row r="75" spans="1:72" ht="16.5" x14ac:dyDescent="0.3">
      <c r="A75" s="255"/>
      <c r="B75" s="262"/>
      <c r="C75" s="266"/>
      <c r="D75" s="338" t="s">
        <v>526</v>
      </c>
      <c r="E75" s="289"/>
      <c r="F75" s="289"/>
      <c r="G75" s="289"/>
      <c r="H75" s="300"/>
      <c r="I75" s="300"/>
      <c r="J75" s="300"/>
      <c r="K75" s="331"/>
      <c r="L75" s="331"/>
      <c r="M75" s="331"/>
      <c r="N75" s="331"/>
      <c r="O75" s="331"/>
      <c r="P75" s="331"/>
      <c r="Q75" s="331"/>
      <c r="R75" s="331"/>
      <c r="S75" s="331"/>
      <c r="T75" s="331"/>
      <c r="U75" s="331"/>
      <c r="V75" s="331"/>
      <c r="W75" s="331"/>
      <c r="X75" s="331"/>
      <c r="Y75" s="331"/>
      <c r="Z75" s="331"/>
      <c r="AA75" s="331"/>
      <c r="AB75" s="331"/>
      <c r="AC75" s="331"/>
      <c r="AD75" s="331"/>
      <c r="AE75" s="331"/>
      <c r="AF75" s="331"/>
      <c r="AG75" s="302">
        <v>3103</v>
      </c>
      <c r="AH75" s="793">
        <v>0</v>
      </c>
      <c r="AI75" s="793"/>
      <c r="AJ75" s="793"/>
      <c r="AK75" s="793"/>
      <c r="AL75" s="794"/>
      <c r="AM75" s="303"/>
      <c r="AN75" s="270"/>
      <c r="AO75" s="255"/>
      <c r="AP75" s="255"/>
      <c r="AQ75" s="255"/>
      <c r="AR75" s="255"/>
      <c r="AS75" s="255"/>
      <c r="BT75" s="121"/>
    </row>
    <row r="76" spans="1:72" ht="16.5" x14ac:dyDescent="0.3">
      <c r="A76" s="255"/>
      <c r="B76" s="262"/>
      <c r="C76" s="266"/>
      <c r="D76" s="263" t="s">
        <v>177</v>
      </c>
      <c r="E76" s="282"/>
      <c r="F76" s="282"/>
      <c r="G76" s="282"/>
      <c r="H76" s="324"/>
      <c r="I76" s="324"/>
      <c r="J76" s="324"/>
      <c r="K76" s="324"/>
      <c r="L76" s="324"/>
      <c r="M76" s="324"/>
      <c r="N76" s="324"/>
      <c r="O76" s="324"/>
      <c r="P76" s="324"/>
      <c r="Q76" s="347"/>
      <c r="R76" s="347"/>
      <c r="S76" s="347"/>
      <c r="T76" s="347"/>
      <c r="U76" s="347"/>
      <c r="V76" s="347"/>
      <c r="W76" s="347"/>
      <c r="X76" s="347"/>
      <c r="Y76" s="347"/>
      <c r="Z76" s="347"/>
      <c r="AA76" s="347"/>
      <c r="AB76" s="347"/>
      <c r="AC76" s="347"/>
      <c r="AD76" s="347"/>
      <c r="AE76" s="347"/>
      <c r="AF76" s="347"/>
      <c r="AG76" s="342">
        <v>3104</v>
      </c>
      <c r="AH76" s="795">
        <v>0</v>
      </c>
      <c r="AI76" s="795"/>
      <c r="AJ76" s="795"/>
      <c r="AK76" s="795"/>
      <c r="AL76" s="796"/>
      <c r="AM76" s="303"/>
      <c r="AN76" s="270"/>
      <c r="AO76" s="255"/>
      <c r="AP76" s="255"/>
      <c r="AQ76" s="255"/>
      <c r="AR76" s="255"/>
      <c r="AS76" s="255"/>
      <c r="BT76" s="121"/>
    </row>
    <row r="77" spans="1:72" ht="16.5" x14ac:dyDescent="0.3">
      <c r="A77" s="255"/>
      <c r="B77" s="262"/>
      <c r="C77" s="266"/>
      <c r="D77" s="338" t="s">
        <v>527</v>
      </c>
      <c r="E77" s="289"/>
      <c r="F77" s="348"/>
      <c r="G77" s="348"/>
      <c r="H77" s="348"/>
      <c r="I77" s="348"/>
      <c r="J77" s="348"/>
      <c r="K77" s="348"/>
      <c r="L77" s="348"/>
      <c r="M77" s="348"/>
      <c r="N77" s="348"/>
      <c r="O77" s="348"/>
      <c r="P77" s="348"/>
      <c r="Q77" s="300"/>
      <c r="R77" s="300"/>
      <c r="S77" s="300"/>
      <c r="T77" s="300"/>
      <c r="U77" s="300"/>
      <c r="V77" s="300"/>
      <c r="W77" s="288"/>
      <c r="X77" s="288"/>
      <c r="Y77" s="300"/>
      <c r="Z77" s="300"/>
      <c r="AA77" s="300"/>
      <c r="AB77" s="300"/>
      <c r="AC77" s="300"/>
      <c r="AD77" s="300"/>
      <c r="AE77" s="300"/>
      <c r="AF77" s="300"/>
      <c r="AG77" s="342">
        <v>3105</v>
      </c>
      <c r="AH77" s="797">
        <v>65823728</v>
      </c>
      <c r="AI77" s="797"/>
      <c r="AJ77" s="797"/>
      <c r="AK77" s="797"/>
      <c r="AL77" s="798"/>
      <c r="AM77" s="303"/>
      <c r="AN77" s="270"/>
      <c r="AO77" s="255"/>
      <c r="AP77" s="255"/>
      <c r="AQ77" s="255"/>
      <c r="AR77" s="255"/>
      <c r="AS77" s="255"/>
      <c r="BT77" s="121"/>
    </row>
    <row r="78" spans="1:72" ht="15" customHeight="1" thickBot="1" x14ac:dyDescent="0.35">
      <c r="A78" s="255"/>
      <c r="B78" s="262"/>
      <c r="C78" s="266"/>
      <c r="D78" s="338" t="s">
        <v>528</v>
      </c>
      <c r="E78" s="289"/>
      <c r="F78" s="300"/>
      <c r="G78" s="300"/>
      <c r="H78" s="348"/>
      <c r="I78" s="348"/>
      <c r="J78" s="348"/>
      <c r="K78" s="348"/>
      <c r="L78" s="348"/>
      <c r="M78" s="348"/>
      <c r="N78" s="348"/>
      <c r="O78" s="348"/>
      <c r="P78" s="348"/>
      <c r="Q78" s="300"/>
      <c r="R78" s="300"/>
      <c r="S78" s="300"/>
      <c r="T78" s="300"/>
      <c r="U78" s="300"/>
      <c r="V78" s="300"/>
      <c r="W78" s="288"/>
      <c r="X78" s="288"/>
      <c r="Y78" s="300"/>
      <c r="Z78" s="300"/>
      <c r="AA78" s="300"/>
      <c r="AB78" s="300"/>
      <c r="AC78" s="300"/>
      <c r="AD78" s="300"/>
      <c r="AE78" s="300"/>
      <c r="AF78" s="300"/>
      <c r="AG78" s="342">
        <v>3106</v>
      </c>
      <c r="AH78" s="789">
        <v>0</v>
      </c>
      <c r="AI78" s="789"/>
      <c r="AJ78" s="789"/>
      <c r="AK78" s="789"/>
      <c r="AL78" s="790"/>
      <c r="AM78" s="303"/>
      <c r="AN78" s="270"/>
      <c r="AO78" s="255"/>
      <c r="AP78" s="255"/>
      <c r="AQ78" s="255"/>
      <c r="AR78" s="255"/>
      <c r="AS78" s="255"/>
      <c r="BT78" s="121"/>
    </row>
    <row r="79" spans="1:72" ht="15" customHeight="1" thickBot="1" x14ac:dyDescent="0.35">
      <c r="A79" s="255"/>
      <c r="B79" s="262"/>
      <c r="C79" s="266"/>
      <c r="D79" s="310" t="s">
        <v>529</v>
      </c>
      <c r="E79" s="311"/>
      <c r="F79" s="312"/>
      <c r="G79" s="312"/>
      <c r="H79" s="312"/>
      <c r="I79" s="312"/>
      <c r="J79" s="312"/>
      <c r="K79" s="313"/>
      <c r="L79" s="313"/>
      <c r="M79" s="313"/>
      <c r="N79" s="313"/>
      <c r="O79" s="313"/>
      <c r="P79" s="313"/>
      <c r="Q79" s="314"/>
      <c r="R79" s="314"/>
      <c r="S79" s="314"/>
      <c r="T79" s="314"/>
      <c r="U79" s="315"/>
      <c r="V79" s="314"/>
      <c r="W79" s="314"/>
      <c r="X79" s="314"/>
      <c r="Y79" s="314"/>
      <c r="Z79" s="314"/>
      <c r="AA79" s="314"/>
      <c r="AB79" s="314"/>
      <c r="AC79" s="314"/>
      <c r="AD79" s="314"/>
      <c r="AE79" s="314"/>
      <c r="AF79" s="314"/>
      <c r="AG79" s="349">
        <v>3107</v>
      </c>
      <c r="AH79" s="799">
        <v>65823728</v>
      </c>
      <c r="AI79" s="799"/>
      <c r="AJ79" s="799"/>
      <c r="AK79" s="799"/>
      <c r="AL79" s="800"/>
      <c r="AM79" s="303"/>
      <c r="AN79" s="270"/>
      <c r="AO79" s="255"/>
      <c r="AP79" s="255"/>
      <c r="AQ79" s="255"/>
      <c r="AR79" s="255"/>
      <c r="AS79" s="255"/>
      <c r="BT79" s="121"/>
    </row>
    <row r="80" spans="1:72" ht="17.25" thickBot="1" x14ac:dyDescent="0.3">
      <c r="A80" s="255"/>
      <c r="B80" s="262"/>
      <c r="C80" s="266"/>
      <c r="D80" s="267"/>
      <c r="E80" s="275"/>
      <c r="F80" s="274"/>
      <c r="G80" s="274"/>
      <c r="H80" s="275"/>
      <c r="I80" s="275"/>
      <c r="J80" s="275"/>
      <c r="K80" s="275"/>
      <c r="L80" s="275"/>
      <c r="M80" s="275"/>
      <c r="N80" s="275"/>
      <c r="O80" s="275"/>
      <c r="P80" s="275"/>
      <c r="Q80" s="274"/>
      <c r="R80" s="274"/>
      <c r="S80" s="274"/>
      <c r="T80" s="274"/>
      <c r="U80" s="274"/>
      <c r="V80" s="274"/>
      <c r="W80" s="267"/>
      <c r="X80" s="267"/>
      <c r="Y80" s="274"/>
      <c r="Z80" s="274"/>
      <c r="AA80" s="274"/>
      <c r="AB80" s="274"/>
      <c r="AC80" s="274"/>
      <c r="AD80" s="274"/>
      <c r="AE80" s="274"/>
      <c r="AF80" s="274"/>
      <c r="AG80" s="297"/>
      <c r="AH80" s="350"/>
      <c r="AI80" s="350"/>
      <c r="AJ80" s="350"/>
      <c r="AK80" s="350"/>
      <c r="AL80" s="350"/>
      <c r="AM80" s="303"/>
      <c r="AN80" s="270"/>
      <c r="AO80" s="255"/>
      <c r="AP80" s="255"/>
      <c r="AQ80" s="255"/>
      <c r="AR80" s="255"/>
      <c r="AS80" s="255"/>
      <c r="BT80" s="121"/>
    </row>
    <row r="81" spans="1:72" ht="17.25" thickBot="1" x14ac:dyDescent="0.35">
      <c r="A81" s="255"/>
      <c r="B81" s="262"/>
      <c r="C81" s="266"/>
      <c r="D81" s="310" t="s">
        <v>530</v>
      </c>
      <c r="E81" s="311"/>
      <c r="F81" s="312"/>
      <c r="G81" s="312"/>
      <c r="H81" s="312"/>
      <c r="I81" s="312"/>
      <c r="J81" s="312"/>
      <c r="K81" s="313"/>
      <c r="L81" s="313"/>
      <c r="M81" s="313"/>
      <c r="N81" s="313"/>
      <c r="O81" s="313"/>
      <c r="P81" s="313"/>
      <c r="Q81" s="314"/>
      <c r="R81" s="314"/>
      <c r="S81" s="314"/>
      <c r="T81" s="314"/>
      <c r="U81" s="315"/>
      <c r="V81" s="314"/>
      <c r="W81" s="314"/>
      <c r="X81" s="314"/>
      <c r="Y81" s="314"/>
      <c r="Z81" s="314"/>
      <c r="AA81" s="314"/>
      <c r="AB81" s="314"/>
      <c r="AC81" s="314"/>
      <c r="AD81" s="314"/>
      <c r="AE81" s="314"/>
      <c r="AF81" s="314"/>
      <c r="AG81" s="349">
        <v>3037</v>
      </c>
      <c r="AH81" s="801">
        <v>65823728</v>
      </c>
      <c r="AI81" s="801"/>
      <c r="AJ81" s="801"/>
      <c r="AK81" s="801"/>
      <c r="AL81" s="802"/>
      <c r="AM81" s="351"/>
      <c r="AN81" s="270"/>
      <c r="AO81" s="255"/>
      <c r="AP81" s="255"/>
      <c r="AQ81" s="255"/>
      <c r="AR81" s="255"/>
      <c r="AS81" s="255"/>
      <c r="BT81" s="121"/>
    </row>
    <row r="82" spans="1:72" ht="16.5" x14ac:dyDescent="0.3">
      <c r="A82" s="255"/>
      <c r="B82" s="262"/>
      <c r="C82" s="266"/>
      <c r="D82" s="305"/>
      <c r="E82" s="305"/>
      <c r="F82" s="305"/>
      <c r="G82" s="305"/>
      <c r="H82" s="305"/>
      <c r="I82" s="305"/>
      <c r="J82" s="305"/>
      <c r="K82" s="305"/>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267"/>
      <c r="AL82" s="267"/>
      <c r="AM82" s="269"/>
      <c r="AN82" s="270"/>
      <c r="AO82" s="255"/>
      <c r="AP82" s="255"/>
      <c r="AQ82" s="255"/>
      <c r="AR82" s="255"/>
      <c r="AS82" s="255"/>
      <c r="BT82" s="121"/>
    </row>
    <row r="83" spans="1:72" ht="16.5" x14ac:dyDescent="0.25">
      <c r="A83" s="255"/>
      <c r="B83" s="262"/>
      <c r="C83" s="266"/>
      <c r="D83" s="813" t="s">
        <v>531</v>
      </c>
      <c r="E83" s="813"/>
      <c r="F83" s="813"/>
      <c r="G83" s="813"/>
      <c r="H83" s="813"/>
      <c r="I83" s="813"/>
      <c r="J83" s="813"/>
      <c r="K83" s="813"/>
      <c r="L83" s="813"/>
      <c r="M83" s="813"/>
      <c r="N83" s="813"/>
      <c r="O83" s="813"/>
      <c r="P83" s="813"/>
      <c r="Q83" s="813"/>
      <c r="R83" s="813"/>
      <c r="S83" s="813"/>
      <c r="T83" s="813"/>
      <c r="U83" s="813"/>
      <c r="V83" s="813"/>
      <c r="W83" s="813"/>
      <c r="X83" s="813"/>
      <c r="Y83" s="813"/>
      <c r="Z83" s="813"/>
      <c r="AA83" s="813"/>
      <c r="AB83" s="813"/>
      <c r="AC83" s="813"/>
      <c r="AD83" s="813"/>
      <c r="AE83" s="813"/>
      <c r="AF83" s="813"/>
      <c r="AG83" s="813"/>
      <c r="AH83" s="813"/>
      <c r="AI83" s="813"/>
      <c r="AJ83" s="813"/>
      <c r="AK83" s="813"/>
      <c r="AL83" s="813"/>
      <c r="AM83" s="814"/>
      <c r="AN83" s="270"/>
      <c r="AO83" s="255"/>
      <c r="AP83" s="255"/>
      <c r="AQ83" s="255"/>
      <c r="AR83" s="255"/>
      <c r="AS83" s="255"/>
      <c r="BT83" s="121"/>
    </row>
    <row r="84" spans="1:72" ht="15" customHeight="1" x14ac:dyDescent="0.3">
      <c r="A84" s="255"/>
      <c r="B84" s="262"/>
      <c r="C84" s="266"/>
      <c r="D84" s="316"/>
      <c r="E84" s="305"/>
      <c r="F84" s="305"/>
      <c r="G84" s="305"/>
      <c r="H84" s="305"/>
      <c r="I84" s="305"/>
      <c r="J84" s="305"/>
      <c r="K84" s="305"/>
      <c r="L84" s="305"/>
      <c r="M84" s="305"/>
      <c r="N84" s="305"/>
      <c r="O84" s="305"/>
      <c r="P84" s="305"/>
      <c r="Q84" s="305"/>
      <c r="R84" s="305"/>
      <c r="S84" s="305"/>
      <c r="T84" s="305"/>
      <c r="U84" s="305"/>
      <c r="V84" s="305"/>
      <c r="W84" s="305"/>
      <c r="X84" s="305"/>
      <c r="Y84" s="305"/>
      <c r="Z84" s="305"/>
      <c r="AA84" s="305"/>
      <c r="AB84" s="305"/>
      <c r="AC84" s="305"/>
      <c r="AD84" s="305"/>
      <c r="AE84" s="305"/>
      <c r="AF84" s="305"/>
      <c r="AG84" s="305"/>
      <c r="AH84" s="305"/>
      <c r="AI84" s="305"/>
      <c r="AJ84" s="305"/>
      <c r="AK84" s="268"/>
      <c r="AL84" s="268"/>
      <c r="AM84" s="317"/>
      <c r="AN84" s="270"/>
      <c r="AO84" s="255"/>
      <c r="AP84" s="255"/>
      <c r="AQ84" s="255"/>
      <c r="AR84" s="255"/>
      <c r="AS84" s="255"/>
      <c r="BT84" s="121"/>
    </row>
    <row r="85" spans="1:72" ht="15" customHeight="1" x14ac:dyDescent="0.25">
      <c r="A85" s="255"/>
      <c r="B85" s="262"/>
      <c r="C85" s="266"/>
      <c r="D85" s="275"/>
      <c r="E85" s="318"/>
      <c r="F85" s="318"/>
      <c r="G85" s="318"/>
      <c r="H85" s="318"/>
      <c r="I85" s="318"/>
      <c r="J85" s="318"/>
      <c r="K85" s="318"/>
      <c r="L85" s="318"/>
      <c r="M85" s="318"/>
      <c r="N85" s="318"/>
      <c r="O85" s="318"/>
      <c r="P85" s="318"/>
      <c r="Q85" s="318"/>
      <c r="R85" s="318"/>
      <c r="S85" s="318"/>
      <c r="T85" s="318"/>
      <c r="U85" s="318"/>
      <c r="V85" s="318"/>
      <c r="W85" s="318"/>
      <c r="X85" s="318"/>
      <c r="Y85" s="318"/>
      <c r="Z85" s="318"/>
      <c r="AA85" s="318"/>
      <c r="AB85" s="318"/>
      <c r="AC85" s="318"/>
      <c r="AD85" s="318"/>
      <c r="AE85" s="318"/>
      <c r="AF85" s="815" t="s">
        <v>508</v>
      </c>
      <c r="AG85" s="816"/>
      <c r="AH85" s="816"/>
      <c r="AI85" s="816"/>
      <c r="AJ85" s="816"/>
      <c r="AK85" s="816"/>
      <c r="AL85" s="817"/>
      <c r="AM85" s="352"/>
      <c r="AN85" s="270"/>
      <c r="AO85" s="255"/>
      <c r="AP85" s="255"/>
      <c r="AQ85" s="255"/>
      <c r="AR85" s="255"/>
      <c r="AS85" s="255"/>
      <c r="BT85" s="121"/>
    </row>
    <row r="86" spans="1:72" ht="15" customHeight="1" x14ac:dyDescent="0.3">
      <c r="A86" s="255"/>
      <c r="B86" s="262"/>
      <c r="C86" s="266"/>
      <c r="D86" s="818" t="s">
        <v>532</v>
      </c>
      <c r="E86" s="818"/>
      <c r="F86" s="818"/>
      <c r="G86" s="818"/>
      <c r="H86" s="818"/>
      <c r="I86" s="818"/>
      <c r="J86" s="818"/>
      <c r="K86" s="818"/>
      <c r="L86" s="818"/>
      <c r="M86" s="818"/>
      <c r="N86" s="818"/>
      <c r="O86" s="818"/>
      <c r="P86" s="818"/>
      <c r="Q86" s="818"/>
      <c r="R86" s="818"/>
      <c r="S86" s="818"/>
      <c r="T86" s="818"/>
      <c r="U86" s="818"/>
      <c r="V86" s="818"/>
      <c r="W86" s="818"/>
      <c r="X86" s="818"/>
      <c r="Y86" s="818"/>
      <c r="Z86" s="818"/>
      <c r="AA86" s="818"/>
      <c r="AB86" s="818"/>
      <c r="AC86" s="818"/>
      <c r="AD86" s="818"/>
      <c r="AE86" s="353">
        <v>3108</v>
      </c>
      <c r="AF86" s="819">
        <v>0</v>
      </c>
      <c r="AG86" s="811"/>
      <c r="AH86" s="811"/>
      <c r="AI86" s="811"/>
      <c r="AJ86" s="811"/>
      <c r="AK86" s="811"/>
      <c r="AL86" s="812"/>
      <c r="AM86" s="284"/>
      <c r="AN86" s="270"/>
      <c r="AO86" s="255"/>
      <c r="AP86" s="255"/>
      <c r="AQ86" s="255"/>
      <c r="AR86" s="255"/>
      <c r="AS86" s="255"/>
      <c r="BT86" s="121"/>
    </row>
    <row r="87" spans="1:72" ht="17.25" thickBot="1" x14ac:dyDescent="0.35">
      <c r="A87" s="255"/>
      <c r="B87" s="354"/>
      <c r="C87" s="355"/>
      <c r="D87" s="356"/>
      <c r="E87" s="357"/>
      <c r="F87" s="357"/>
      <c r="G87" s="357"/>
      <c r="H87" s="357"/>
      <c r="I87" s="357"/>
      <c r="J87" s="357"/>
      <c r="K87" s="357"/>
      <c r="L87" s="357"/>
      <c r="M87" s="357"/>
      <c r="N87" s="357"/>
      <c r="O87" s="357"/>
      <c r="P87" s="357"/>
      <c r="Q87" s="357"/>
      <c r="R87" s="357"/>
      <c r="S87" s="357"/>
      <c r="T87" s="357"/>
      <c r="U87" s="357"/>
      <c r="V87" s="357"/>
      <c r="W87" s="357"/>
      <c r="X87" s="357"/>
      <c r="Y87" s="357"/>
      <c r="Z87" s="357"/>
      <c r="AA87" s="357"/>
      <c r="AB87" s="357"/>
      <c r="AC87" s="357"/>
      <c r="AD87" s="357"/>
      <c r="AE87" s="357"/>
      <c r="AF87" s="357"/>
      <c r="AG87" s="357"/>
      <c r="AH87" s="357"/>
      <c r="AI87" s="357"/>
      <c r="AJ87" s="357"/>
      <c r="AK87" s="357"/>
      <c r="AL87" s="357"/>
      <c r="AM87" s="358"/>
      <c r="AN87" s="359"/>
      <c r="AO87" s="255"/>
      <c r="AP87" s="255"/>
      <c r="AQ87" s="255"/>
      <c r="AR87" s="255"/>
      <c r="AS87" s="255"/>
      <c r="BT87" s="121"/>
    </row>
    <row r="88" spans="1:72" ht="16.5" x14ac:dyDescent="0.3">
      <c r="A88" s="255"/>
      <c r="B88" s="360"/>
      <c r="C88" s="277"/>
      <c r="D88" s="275"/>
      <c r="E88" s="277"/>
      <c r="F88" s="277"/>
      <c r="G88" s="277"/>
      <c r="H88" s="277"/>
      <c r="I88" s="277"/>
      <c r="J88" s="277"/>
      <c r="K88" s="277"/>
      <c r="L88" s="277"/>
      <c r="M88" s="277"/>
      <c r="N88" s="277"/>
      <c r="O88" s="277"/>
      <c r="P88" s="277"/>
      <c r="Q88" s="277"/>
      <c r="R88" s="277"/>
      <c r="S88" s="277"/>
      <c r="T88" s="277"/>
      <c r="U88" s="277"/>
      <c r="V88" s="277"/>
      <c r="W88" s="277"/>
      <c r="X88" s="277"/>
      <c r="Y88" s="277"/>
      <c r="Z88" s="277"/>
      <c r="AA88" s="277"/>
      <c r="AB88" s="277"/>
      <c r="AC88" s="277"/>
      <c r="AD88" s="277"/>
      <c r="AE88" s="277"/>
      <c r="AF88" s="277"/>
      <c r="AG88" s="277"/>
      <c r="AH88" s="277"/>
      <c r="AI88" s="277"/>
      <c r="AJ88" s="277"/>
      <c r="AK88" s="277"/>
      <c r="AL88" s="277"/>
      <c r="AM88" s="277"/>
      <c r="AN88" s="361"/>
      <c r="AO88" s="255"/>
      <c r="AP88" s="255"/>
      <c r="AQ88" s="255"/>
      <c r="AR88" s="255"/>
      <c r="AS88" s="255"/>
      <c r="BT88" s="121"/>
    </row>
    <row r="89" spans="1:72" ht="16.5" x14ac:dyDescent="0.25">
      <c r="A89" s="255"/>
      <c r="B89" s="262"/>
      <c r="C89" s="341"/>
      <c r="D89" s="257"/>
      <c r="E89" s="281" t="s">
        <v>533</v>
      </c>
      <c r="F89" s="324"/>
      <c r="G89" s="324"/>
      <c r="H89" s="324"/>
      <c r="I89" s="324"/>
      <c r="J89" s="324"/>
      <c r="K89" s="324"/>
      <c r="L89" s="324"/>
      <c r="M89" s="324"/>
      <c r="N89" s="324"/>
      <c r="O89" s="324"/>
      <c r="P89" s="324"/>
      <c r="Q89" s="324"/>
      <c r="R89" s="324"/>
      <c r="S89" s="324"/>
      <c r="T89" s="324"/>
      <c r="U89" s="324"/>
      <c r="V89" s="324"/>
      <c r="W89" s="324"/>
      <c r="X89" s="324"/>
      <c r="Y89" s="324"/>
      <c r="Z89" s="324"/>
      <c r="AA89" s="324"/>
      <c r="AB89" s="324"/>
      <c r="AC89" s="324"/>
      <c r="AD89" s="324"/>
      <c r="AE89" s="324"/>
      <c r="AF89" s="324"/>
      <c r="AG89" s="324"/>
      <c r="AH89" s="324"/>
      <c r="AI89" s="324"/>
      <c r="AJ89" s="324"/>
      <c r="AK89" s="324"/>
      <c r="AL89" s="324"/>
      <c r="AM89" s="325"/>
      <c r="AN89" s="270"/>
      <c r="AO89" s="255"/>
      <c r="AP89" s="255"/>
      <c r="AQ89" s="255"/>
      <c r="AR89" s="255"/>
      <c r="AS89" s="255"/>
      <c r="BT89" s="121"/>
    </row>
    <row r="90" spans="1:72" ht="15" customHeight="1" x14ac:dyDescent="0.25">
      <c r="A90" s="255"/>
      <c r="B90" s="262"/>
      <c r="C90" s="362"/>
      <c r="D90" s="267"/>
      <c r="E90" s="273"/>
      <c r="F90" s="274"/>
      <c r="G90" s="274"/>
      <c r="H90" s="274"/>
      <c r="I90" s="274"/>
      <c r="J90" s="274"/>
      <c r="K90" s="274"/>
      <c r="L90" s="274"/>
      <c r="M90" s="274"/>
      <c r="N90" s="274"/>
      <c r="O90" s="274"/>
      <c r="P90" s="274"/>
      <c r="Q90" s="274"/>
      <c r="R90" s="274"/>
      <c r="S90" s="274"/>
      <c r="T90" s="274"/>
      <c r="U90" s="274"/>
      <c r="V90" s="274"/>
      <c r="W90" s="274"/>
      <c r="X90" s="274"/>
      <c r="Y90" s="274"/>
      <c r="Z90" s="274"/>
      <c r="AA90" s="274"/>
      <c r="AB90" s="274"/>
      <c r="AC90" s="274"/>
      <c r="AD90" s="274"/>
      <c r="AE90" s="274"/>
      <c r="AF90" s="274"/>
      <c r="AG90" s="274"/>
      <c r="AH90" s="274"/>
      <c r="AI90" s="274"/>
      <c r="AJ90" s="274"/>
      <c r="AK90" s="274"/>
      <c r="AL90" s="274"/>
      <c r="AM90" s="298"/>
      <c r="AN90" s="270"/>
      <c r="AO90" s="255"/>
      <c r="AP90" s="255"/>
      <c r="AQ90" s="255"/>
      <c r="AR90" s="255"/>
      <c r="AS90" s="255"/>
      <c r="BT90" s="121"/>
    </row>
    <row r="91" spans="1:72" ht="16.5" x14ac:dyDescent="0.25">
      <c r="A91" s="255"/>
      <c r="B91" s="262"/>
      <c r="C91" s="362"/>
      <c r="D91" s="267"/>
      <c r="E91" s="273"/>
      <c r="F91" s="274"/>
      <c r="G91" s="274"/>
      <c r="H91" s="274"/>
      <c r="I91" s="274"/>
      <c r="J91" s="274"/>
      <c r="K91" s="274"/>
      <c r="L91" s="274"/>
      <c r="M91" s="274"/>
      <c r="N91" s="274"/>
      <c r="O91" s="274"/>
      <c r="P91" s="274"/>
      <c r="Q91" s="274"/>
      <c r="R91" s="274"/>
      <c r="S91" s="274"/>
      <c r="T91" s="274"/>
      <c r="U91" s="274"/>
      <c r="V91" s="274"/>
      <c r="W91" s="274"/>
      <c r="X91" s="274"/>
      <c r="Y91" s="274"/>
      <c r="Z91" s="274"/>
      <c r="AA91" s="274"/>
      <c r="AB91" s="274"/>
      <c r="AC91" s="274"/>
      <c r="AD91" s="274"/>
      <c r="AE91" s="274"/>
      <c r="AF91" s="732" t="s">
        <v>488</v>
      </c>
      <c r="AG91" s="733"/>
      <c r="AH91" s="733"/>
      <c r="AI91" s="733"/>
      <c r="AJ91" s="733"/>
      <c r="AK91" s="733"/>
      <c r="AL91" s="733"/>
      <c r="AM91" s="734"/>
      <c r="AN91" s="270"/>
      <c r="AO91" s="255"/>
      <c r="AP91" s="255"/>
      <c r="AQ91" s="255"/>
      <c r="AR91" s="255"/>
      <c r="AS91" s="255"/>
      <c r="BT91" s="121"/>
    </row>
    <row r="92" spans="1:72" ht="30.75" customHeight="1" x14ac:dyDescent="0.3">
      <c r="A92" s="255"/>
      <c r="B92" s="262"/>
      <c r="C92" s="362"/>
      <c r="D92" s="267"/>
      <c r="E92" s="731" t="s">
        <v>534</v>
      </c>
      <c r="F92" s="731"/>
      <c r="G92" s="731"/>
      <c r="H92" s="731"/>
      <c r="I92" s="731"/>
      <c r="J92" s="731"/>
      <c r="K92" s="731"/>
      <c r="L92" s="731"/>
      <c r="M92" s="731"/>
      <c r="N92" s="731"/>
      <c r="O92" s="731"/>
      <c r="P92" s="731"/>
      <c r="Q92" s="731"/>
      <c r="R92" s="731"/>
      <c r="S92" s="731"/>
      <c r="T92" s="731"/>
      <c r="U92" s="731"/>
      <c r="V92" s="731"/>
      <c r="W92" s="731"/>
      <c r="X92" s="731"/>
      <c r="Y92" s="731"/>
      <c r="Z92" s="731"/>
      <c r="AA92" s="731"/>
      <c r="AB92" s="731"/>
      <c r="AC92" s="731"/>
      <c r="AD92" s="731"/>
      <c r="AE92" s="305">
        <v>3073</v>
      </c>
      <c r="AF92" s="819">
        <v>0</v>
      </c>
      <c r="AG92" s="811"/>
      <c r="AH92" s="811"/>
      <c r="AI92" s="811"/>
      <c r="AJ92" s="811"/>
      <c r="AK92" s="811"/>
      <c r="AL92" s="811"/>
      <c r="AM92" s="812"/>
      <c r="AN92" s="270"/>
      <c r="AO92" s="255"/>
      <c r="AP92" s="255"/>
      <c r="AQ92" s="255"/>
      <c r="AR92" s="255"/>
      <c r="AS92" s="255"/>
      <c r="BT92" s="121"/>
    </row>
    <row r="93" spans="1:72" ht="16.5" x14ac:dyDescent="0.25">
      <c r="A93" s="255"/>
      <c r="B93" s="262"/>
      <c r="C93" s="363"/>
      <c r="D93" s="293"/>
      <c r="E93" s="364"/>
      <c r="F93" s="364"/>
      <c r="G93" s="364"/>
      <c r="H93" s="364"/>
      <c r="I93" s="364"/>
      <c r="J93" s="364"/>
      <c r="K93" s="364"/>
      <c r="L93" s="364"/>
      <c r="M93" s="364"/>
      <c r="N93" s="364"/>
      <c r="O93" s="364"/>
      <c r="P93" s="364"/>
      <c r="Q93" s="364"/>
      <c r="R93" s="364"/>
      <c r="S93" s="364"/>
      <c r="T93" s="364"/>
      <c r="U93" s="364"/>
      <c r="V93" s="364"/>
      <c r="W93" s="364"/>
      <c r="X93" s="364"/>
      <c r="Y93" s="364"/>
      <c r="Z93" s="364"/>
      <c r="AA93" s="364"/>
      <c r="AB93" s="364"/>
      <c r="AC93" s="364"/>
      <c r="AD93" s="364"/>
      <c r="AE93" s="364"/>
      <c r="AF93" s="364"/>
      <c r="AG93" s="364"/>
      <c r="AH93" s="364"/>
      <c r="AI93" s="364"/>
      <c r="AJ93" s="364"/>
      <c r="AK93" s="364"/>
      <c r="AL93" s="364"/>
      <c r="AM93" s="365"/>
      <c r="AN93" s="270"/>
      <c r="AO93" s="255"/>
      <c r="AP93" s="255"/>
      <c r="AQ93" s="255"/>
      <c r="AR93" s="255"/>
      <c r="AS93" s="255"/>
      <c r="BT93" s="121"/>
    </row>
    <row r="94" spans="1:72" ht="16.5" x14ac:dyDescent="0.25">
      <c r="A94" s="255"/>
      <c r="B94" s="256"/>
      <c r="C94" s="273" t="s">
        <v>535</v>
      </c>
      <c r="D94" s="274"/>
      <c r="E94" s="274"/>
      <c r="F94" s="324"/>
      <c r="G94" s="324"/>
      <c r="H94" s="324"/>
      <c r="I94" s="324"/>
      <c r="J94" s="324"/>
      <c r="K94" s="324"/>
      <c r="L94" s="324"/>
      <c r="M94" s="324"/>
      <c r="N94" s="324"/>
      <c r="O94" s="324"/>
      <c r="P94" s="324"/>
      <c r="Q94" s="324"/>
      <c r="R94" s="324"/>
      <c r="S94" s="324"/>
      <c r="T94" s="324"/>
      <c r="U94" s="324"/>
      <c r="V94" s="324"/>
      <c r="W94" s="324"/>
      <c r="X94" s="324"/>
      <c r="Y94" s="324"/>
      <c r="Z94" s="324"/>
      <c r="AA94" s="324"/>
      <c r="AB94" s="324"/>
      <c r="AC94" s="324"/>
      <c r="AD94" s="324"/>
      <c r="AE94" s="324"/>
      <c r="AF94" s="324"/>
      <c r="AG94" s="324"/>
      <c r="AH94" s="324"/>
      <c r="AI94" s="324"/>
      <c r="AJ94" s="324"/>
      <c r="AK94" s="324"/>
      <c r="AL94" s="257"/>
      <c r="AM94" s="366"/>
      <c r="AN94" s="367"/>
      <c r="AO94" s="255"/>
      <c r="AP94" s="255"/>
      <c r="AQ94" s="255"/>
      <c r="AR94" s="255"/>
      <c r="AS94" s="255"/>
      <c r="BT94" s="121"/>
    </row>
    <row r="95" spans="1:72" ht="16.5" x14ac:dyDescent="0.25">
      <c r="A95" s="255"/>
      <c r="B95" s="262"/>
      <c r="C95" s="273"/>
      <c r="D95" s="274"/>
      <c r="E95" s="274"/>
      <c r="F95" s="274"/>
      <c r="G95" s="274"/>
      <c r="H95" s="274"/>
      <c r="I95" s="274"/>
      <c r="J95" s="274"/>
      <c r="K95" s="274"/>
      <c r="L95" s="274"/>
      <c r="M95" s="274"/>
      <c r="N95" s="274"/>
      <c r="O95" s="274"/>
      <c r="P95" s="274"/>
      <c r="Q95" s="274"/>
      <c r="R95" s="274"/>
      <c r="S95" s="274"/>
      <c r="T95" s="274"/>
      <c r="U95" s="274"/>
      <c r="V95" s="274"/>
      <c r="W95" s="274"/>
      <c r="X95" s="274"/>
      <c r="Y95" s="274"/>
      <c r="Z95" s="274"/>
      <c r="AA95" s="274"/>
      <c r="AB95" s="274"/>
      <c r="AC95" s="364"/>
      <c r="AD95" s="364"/>
      <c r="AE95" s="364"/>
      <c r="AF95" s="364"/>
      <c r="AG95" s="364"/>
      <c r="AH95" s="364"/>
      <c r="AI95" s="364"/>
      <c r="AJ95" s="364"/>
      <c r="AK95" s="364"/>
      <c r="AL95" s="267"/>
      <c r="AM95" s="368"/>
      <c r="AN95" s="367"/>
      <c r="AO95" s="255"/>
      <c r="AP95" s="255"/>
      <c r="AQ95" s="255"/>
      <c r="AR95" s="255"/>
      <c r="AS95" s="255"/>
      <c r="BT95" s="121"/>
    </row>
    <row r="96" spans="1:72" ht="16.5" x14ac:dyDescent="0.3">
      <c r="A96" s="255"/>
      <c r="B96" s="360"/>
      <c r="C96" s="369"/>
      <c r="D96" s="282"/>
      <c r="E96" s="282"/>
      <c r="F96" s="282"/>
      <c r="G96" s="282"/>
      <c r="H96" s="282"/>
      <c r="I96" s="282"/>
      <c r="J96" s="282"/>
      <c r="K96" s="282"/>
      <c r="L96" s="282"/>
      <c r="M96" s="282"/>
      <c r="N96" s="282"/>
      <c r="O96" s="282"/>
      <c r="P96" s="282"/>
      <c r="Q96" s="282"/>
      <c r="R96" s="282"/>
      <c r="S96" s="282"/>
      <c r="T96" s="282"/>
      <c r="U96" s="282"/>
      <c r="V96" s="282"/>
      <c r="W96" s="282"/>
      <c r="X96" s="282"/>
      <c r="Y96" s="282"/>
      <c r="Z96" s="282"/>
      <c r="AA96" s="282"/>
      <c r="AB96" s="370"/>
      <c r="AC96" s="820" t="s">
        <v>488</v>
      </c>
      <c r="AD96" s="733"/>
      <c r="AE96" s="733"/>
      <c r="AF96" s="733"/>
      <c r="AG96" s="733"/>
      <c r="AH96" s="733"/>
      <c r="AI96" s="733"/>
      <c r="AJ96" s="733"/>
      <c r="AK96" s="734"/>
      <c r="AL96" s="267"/>
      <c r="AM96" s="368"/>
      <c r="AN96" s="367"/>
      <c r="AO96" s="255"/>
      <c r="AP96" s="255"/>
      <c r="AQ96" s="255"/>
      <c r="AR96" s="255"/>
      <c r="AS96" s="255"/>
      <c r="BT96" s="121"/>
    </row>
    <row r="97" spans="1:72" ht="16.5" x14ac:dyDescent="0.3">
      <c r="A97" s="255"/>
      <c r="B97" s="360"/>
      <c r="C97" s="821" t="s">
        <v>536</v>
      </c>
      <c r="D97" s="822"/>
      <c r="E97" s="822"/>
      <c r="F97" s="822"/>
      <c r="G97" s="822"/>
      <c r="H97" s="822"/>
      <c r="I97" s="822"/>
      <c r="J97" s="822"/>
      <c r="K97" s="822"/>
      <c r="L97" s="822"/>
      <c r="M97" s="822"/>
      <c r="N97" s="822"/>
      <c r="O97" s="822"/>
      <c r="P97" s="822"/>
      <c r="Q97" s="822"/>
      <c r="R97" s="822"/>
      <c r="S97" s="822"/>
      <c r="T97" s="822"/>
      <c r="U97" s="822"/>
      <c r="V97" s="822"/>
      <c r="W97" s="822"/>
      <c r="X97" s="822"/>
      <c r="Y97" s="822"/>
      <c r="Z97" s="822"/>
      <c r="AA97" s="822"/>
      <c r="AB97" s="823"/>
      <c r="AC97" s="824">
        <v>3094</v>
      </c>
      <c r="AD97" s="772">
        <v>0</v>
      </c>
      <c r="AE97" s="772"/>
      <c r="AF97" s="772"/>
      <c r="AG97" s="772"/>
      <c r="AH97" s="772"/>
      <c r="AI97" s="772"/>
      <c r="AJ97" s="772"/>
      <c r="AK97" s="773"/>
      <c r="AL97" s="267"/>
      <c r="AM97" s="368"/>
      <c r="AN97" s="367"/>
      <c r="AO97" s="255"/>
      <c r="AP97" s="255"/>
      <c r="AQ97" s="255"/>
      <c r="AR97" s="255"/>
      <c r="AS97" s="255"/>
      <c r="BT97" s="121"/>
    </row>
    <row r="98" spans="1:72" ht="16.5" x14ac:dyDescent="0.3">
      <c r="A98" s="255"/>
      <c r="B98" s="360"/>
      <c r="C98" s="828" t="s">
        <v>537</v>
      </c>
      <c r="D98" s="829"/>
      <c r="E98" s="829"/>
      <c r="F98" s="829"/>
      <c r="G98" s="829"/>
      <c r="H98" s="829"/>
      <c r="I98" s="829"/>
      <c r="J98" s="829"/>
      <c r="K98" s="829"/>
      <c r="L98" s="829"/>
      <c r="M98" s="829"/>
      <c r="N98" s="829"/>
      <c r="O98" s="829"/>
      <c r="P98" s="829"/>
      <c r="Q98" s="829"/>
      <c r="R98" s="829"/>
      <c r="S98" s="829"/>
      <c r="T98" s="829"/>
      <c r="U98" s="829"/>
      <c r="V98" s="829"/>
      <c r="W98" s="829"/>
      <c r="X98" s="829"/>
      <c r="Y98" s="829"/>
      <c r="Z98" s="829"/>
      <c r="AA98" s="829"/>
      <c r="AB98" s="829"/>
      <c r="AC98" s="825"/>
      <c r="AD98" s="826"/>
      <c r="AE98" s="826"/>
      <c r="AF98" s="826"/>
      <c r="AG98" s="826"/>
      <c r="AH98" s="826"/>
      <c r="AI98" s="826"/>
      <c r="AJ98" s="826"/>
      <c r="AK98" s="827"/>
      <c r="AL98" s="267"/>
      <c r="AM98" s="368"/>
      <c r="AN98" s="367"/>
      <c r="AO98" s="255"/>
      <c r="AP98" s="255"/>
      <c r="AQ98" s="255"/>
      <c r="AR98" s="255"/>
      <c r="AS98" s="255"/>
      <c r="BT98" s="121"/>
    </row>
    <row r="99" spans="1:72" ht="16.5" x14ac:dyDescent="0.3">
      <c r="A99" s="255"/>
      <c r="B99" s="360"/>
      <c r="C99" s="277"/>
      <c r="D99" s="277"/>
      <c r="E99" s="277"/>
      <c r="F99" s="277"/>
      <c r="G99" s="277"/>
      <c r="H99" s="277"/>
      <c r="I99" s="277"/>
      <c r="J99" s="277"/>
      <c r="K99" s="277"/>
      <c r="L99" s="277"/>
      <c r="M99" s="277"/>
      <c r="N99" s="277"/>
      <c r="O99" s="277"/>
      <c r="P99" s="277"/>
      <c r="Q99" s="277"/>
      <c r="R99" s="277"/>
      <c r="S99" s="277"/>
      <c r="T99" s="277"/>
      <c r="U99" s="277"/>
      <c r="V99" s="277"/>
      <c r="W99" s="277"/>
      <c r="X99" s="277"/>
      <c r="Y99" s="277"/>
      <c r="Z99" s="277"/>
      <c r="AA99" s="277"/>
      <c r="AB99" s="277"/>
      <c r="AC99" s="277"/>
      <c r="AD99" s="277"/>
      <c r="AE99" s="277"/>
      <c r="AF99" s="277"/>
      <c r="AG99" s="277"/>
      <c r="AH99" s="277"/>
      <c r="AI99" s="277"/>
      <c r="AJ99" s="277"/>
      <c r="AK99" s="277"/>
      <c r="AL99" s="267"/>
      <c r="AM99" s="368"/>
      <c r="AN99" s="367"/>
      <c r="AO99" s="255"/>
      <c r="AP99" s="255"/>
      <c r="AQ99" s="255"/>
      <c r="AR99" s="255"/>
      <c r="AS99" s="255"/>
      <c r="BT99" s="121"/>
    </row>
    <row r="100" spans="1:72" ht="15" customHeight="1" x14ac:dyDescent="0.3">
      <c r="A100" s="255"/>
      <c r="B100" s="360"/>
      <c r="C100" s="277"/>
      <c r="D100" s="277"/>
      <c r="E100" s="277"/>
      <c r="F100" s="277"/>
      <c r="G100" s="277"/>
      <c r="H100" s="277"/>
      <c r="I100" s="277"/>
      <c r="J100" s="277"/>
      <c r="K100" s="277"/>
      <c r="L100" s="277"/>
      <c r="M100" s="277"/>
      <c r="N100" s="277"/>
      <c r="O100" s="277"/>
      <c r="P100" s="277"/>
      <c r="Q100" s="277"/>
      <c r="R100" s="277"/>
      <c r="S100" s="277"/>
      <c r="T100" s="277"/>
      <c r="U100" s="277"/>
      <c r="V100" s="277"/>
      <c r="W100" s="277"/>
      <c r="X100" s="277"/>
      <c r="Y100" s="277"/>
      <c r="Z100" s="277"/>
      <c r="AA100" s="277"/>
      <c r="AB100" s="277"/>
      <c r="AC100" s="277"/>
      <c r="AD100" s="277"/>
      <c r="AE100" s="277"/>
      <c r="AF100" s="277"/>
      <c r="AG100" s="277"/>
      <c r="AH100" s="277"/>
      <c r="AI100" s="277"/>
      <c r="AJ100" s="277"/>
      <c r="AK100" s="277"/>
      <c r="AL100" s="267"/>
      <c r="AM100" s="368"/>
      <c r="AN100" s="367"/>
      <c r="AO100" s="255"/>
      <c r="AP100" s="255"/>
      <c r="AQ100" s="255"/>
      <c r="AR100" s="255"/>
      <c r="AS100" s="255"/>
      <c r="BT100" s="121"/>
    </row>
    <row r="101" spans="1:72" ht="16.5" x14ac:dyDescent="0.3">
      <c r="A101" s="255"/>
      <c r="B101" s="360"/>
      <c r="C101" s="369"/>
      <c r="D101" s="282"/>
      <c r="E101" s="282"/>
      <c r="F101" s="282"/>
      <c r="G101" s="282"/>
      <c r="H101" s="282"/>
      <c r="I101" s="282"/>
      <c r="J101" s="282"/>
      <c r="K101" s="282"/>
      <c r="L101" s="282"/>
      <c r="M101" s="282"/>
      <c r="N101" s="282"/>
      <c r="O101" s="282"/>
      <c r="P101" s="282"/>
      <c r="Q101" s="282"/>
      <c r="R101" s="282"/>
      <c r="S101" s="282"/>
      <c r="T101" s="282"/>
      <c r="U101" s="282"/>
      <c r="V101" s="282"/>
      <c r="W101" s="282"/>
      <c r="X101" s="282"/>
      <c r="Y101" s="282"/>
      <c r="Z101" s="282"/>
      <c r="AA101" s="282"/>
      <c r="AB101" s="282"/>
      <c r="AC101" s="803" t="s">
        <v>488</v>
      </c>
      <c r="AD101" s="804"/>
      <c r="AE101" s="804"/>
      <c r="AF101" s="804"/>
      <c r="AG101" s="804"/>
      <c r="AH101" s="804"/>
      <c r="AI101" s="804"/>
      <c r="AJ101" s="804"/>
      <c r="AK101" s="805"/>
      <c r="AL101" s="267"/>
      <c r="AM101" s="368"/>
      <c r="AN101" s="367"/>
      <c r="AO101" s="255"/>
      <c r="AP101" s="255"/>
      <c r="AQ101" s="255"/>
      <c r="AR101" s="255"/>
      <c r="AS101" s="255"/>
      <c r="BT101" s="121"/>
    </row>
    <row r="102" spans="1:72" ht="16.5" x14ac:dyDescent="0.3">
      <c r="A102" s="255"/>
      <c r="B102" s="360"/>
      <c r="C102" s="806" t="s">
        <v>538</v>
      </c>
      <c r="D102" s="807"/>
      <c r="E102" s="807"/>
      <c r="F102" s="807"/>
      <c r="G102" s="807"/>
      <c r="H102" s="807"/>
      <c r="I102" s="807"/>
      <c r="J102" s="807"/>
      <c r="K102" s="807"/>
      <c r="L102" s="807"/>
      <c r="M102" s="807"/>
      <c r="N102" s="807"/>
      <c r="O102" s="807"/>
      <c r="P102" s="807"/>
      <c r="Q102" s="807"/>
      <c r="R102" s="807"/>
      <c r="S102" s="807"/>
      <c r="T102" s="807"/>
      <c r="U102" s="807"/>
      <c r="V102" s="807"/>
      <c r="W102" s="807"/>
      <c r="X102" s="807"/>
      <c r="Y102" s="807"/>
      <c r="Z102" s="808"/>
      <c r="AA102" s="809" t="s">
        <v>539</v>
      </c>
      <c r="AB102" s="810"/>
      <c r="AC102" s="302">
        <v>3095</v>
      </c>
      <c r="AD102" s="811">
        <v>0</v>
      </c>
      <c r="AE102" s="811"/>
      <c r="AF102" s="811"/>
      <c r="AG102" s="811"/>
      <c r="AH102" s="811"/>
      <c r="AI102" s="811"/>
      <c r="AJ102" s="811"/>
      <c r="AK102" s="812"/>
      <c r="AL102" s="267"/>
      <c r="AM102" s="368"/>
      <c r="AN102" s="367"/>
      <c r="AO102" s="255"/>
      <c r="AP102" s="255"/>
      <c r="AQ102" s="255"/>
      <c r="AR102" s="255"/>
      <c r="AS102" s="255"/>
      <c r="BT102" s="121"/>
    </row>
    <row r="103" spans="1:72" ht="30.75" customHeight="1" x14ac:dyDescent="0.3">
      <c r="A103" s="255"/>
      <c r="B103" s="360"/>
      <c r="C103" s="830" t="s">
        <v>540</v>
      </c>
      <c r="D103" s="831"/>
      <c r="E103" s="831"/>
      <c r="F103" s="831"/>
      <c r="G103" s="831"/>
      <c r="H103" s="831"/>
      <c r="I103" s="831"/>
      <c r="J103" s="831"/>
      <c r="K103" s="831"/>
      <c r="L103" s="831"/>
      <c r="M103" s="831"/>
      <c r="N103" s="831"/>
      <c r="O103" s="831"/>
      <c r="P103" s="831"/>
      <c r="Q103" s="831"/>
      <c r="R103" s="831"/>
      <c r="S103" s="831"/>
      <c r="T103" s="831"/>
      <c r="U103" s="831"/>
      <c r="V103" s="831"/>
      <c r="W103" s="831"/>
      <c r="X103" s="831"/>
      <c r="Y103" s="831"/>
      <c r="Z103" s="832"/>
      <c r="AA103" s="809" t="s">
        <v>19</v>
      </c>
      <c r="AB103" s="833"/>
      <c r="AC103" s="302">
        <v>3096</v>
      </c>
      <c r="AD103" s="811">
        <v>0</v>
      </c>
      <c r="AE103" s="811"/>
      <c r="AF103" s="811"/>
      <c r="AG103" s="811"/>
      <c r="AH103" s="811"/>
      <c r="AI103" s="811"/>
      <c r="AJ103" s="811"/>
      <c r="AK103" s="812"/>
      <c r="AL103" s="267"/>
      <c r="AM103" s="368"/>
      <c r="AN103" s="367"/>
      <c r="AO103" s="255"/>
      <c r="AP103" s="255"/>
      <c r="AQ103" s="255"/>
      <c r="AR103" s="255"/>
      <c r="AS103" s="255"/>
      <c r="BT103" s="121"/>
    </row>
    <row r="104" spans="1:72" ht="16.5" x14ac:dyDescent="0.3">
      <c r="A104" s="255"/>
      <c r="B104" s="360"/>
      <c r="C104" s="830"/>
      <c r="D104" s="831"/>
      <c r="E104" s="831"/>
      <c r="F104" s="831"/>
      <c r="G104" s="831"/>
      <c r="H104" s="831"/>
      <c r="I104" s="831"/>
      <c r="J104" s="831"/>
      <c r="K104" s="831"/>
      <c r="L104" s="831"/>
      <c r="M104" s="831"/>
      <c r="N104" s="831"/>
      <c r="O104" s="831"/>
      <c r="P104" s="831"/>
      <c r="Q104" s="831"/>
      <c r="R104" s="831"/>
      <c r="S104" s="831"/>
      <c r="T104" s="831"/>
      <c r="U104" s="831"/>
      <c r="V104" s="831"/>
      <c r="W104" s="831"/>
      <c r="X104" s="831"/>
      <c r="Y104" s="831"/>
      <c r="Z104" s="832"/>
      <c r="AA104" s="809" t="s">
        <v>21</v>
      </c>
      <c r="AB104" s="833"/>
      <c r="AC104" s="302">
        <v>3097</v>
      </c>
      <c r="AD104" s="811">
        <v>0</v>
      </c>
      <c r="AE104" s="811"/>
      <c r="AF104" s="811"/>
      <c r="AG104" s="811"/>
      <c r="AH104" s="811"/>
      <c r="AI104" s="811"/>
      <c r="AJ104" s="811"/>
      <c r="AK104" s="812"/>
      <c r="AL104" s="267"/>
      <c r="AM104" s="368"/>
      <c r="AN104" s="367"/>
      <c r="AO104" s="255"/>
      <c r="AP104" s="255"/>
      <c r="AQ104" s="255"/>
      <c r="AR104" s="255"/>
      <c r="AS104" s="255"/>
      <c r="BT104" s="121"/>
    </row>
    <row r="105" spans="1:72" ht="16.5" x14ac:dyDescent="0.3">
      <c r="A105" s="255"/>
      <c r="B105" s="360"/>
      <c r="C105" s="371"/>
      <c r="D105" s="277"/>
      <c r="E105" s="277"/>
      <c r="F105" s="277"/>
      <c r="G105" s="277"/>
      <c r="H105" s="277"/>
      <c r="I105" s="277"/>
      <c r="J105" s="277"/>
      <c r="K105" s="277"/>
      <c r="L105" s="277"/>
      <c r="M105" s="277"/>
      <c r="N105" s="277"/>
      <c r="O105" s="277"/>
      <c r="P105" s="277"/>
      <c r="Q105" s="277"/>
      <c r="R105" s="277"/>
      <c r="S105" s="277"/>
      <c r="T105" s="277"/>
      <c r="U105" s="277"/>
      <c r="V105" s="277"/>
      <c r="W105" s="277"/>
      <c r="X105" s="277"/>
      <c r="Y105" s="277"/>
      <c r="Z105" s="277"/>
      <c r="AA105" s="809" t="s">
        <v>18</v>
      </c>
      <c r="AB105" s="810"/>
      <c r="AC105" s="302">
        <v>3098</v>
      </c>
      <c r="AD105" s="811">
        <v>0</v>
      </c>
      <c r="AE105" s="811"/>
      <c r="AF105" s="811"/>
      <c r="AG105" s="811"/>
      <c r="AH105" s="811"/>
      <c r="AI105" s="811"/>
      <c r="AJ105" s="811"/>
      <c r="AK105" s="812"/>
      <c r="AL105" s="277"/>
      <c r="AM105" s="368"/>
      <c r="AN105" s="367"/>
      <c r="AO105" s="255"/>
      <c r="AP105" s="255"/>
      <c r="AQ105" s="255"/>
      <c r="AR105" s="255"/>
      <c r="AS105" s="255"/>
      <c r="BT105" s="121"/>
    </row>
    <row r="106" spans="1:72" ht="16.5" x14ac:dyDescent="0.3">
      <c r="A106" s="255"/>
      <c r="B106" s="360"/>
      <c r="C106" s="372"/>
      <c r="D106" s="294"/>
      <c r="E106" s="294"/>
      <c r="F106" s="294"/>
      <c r="G106" s="294"/>
      <c r="H106" s="294"/>
      <c r="I106" s="294"/>
      <c r="J106" s="294"/>
      <c r="K106" s="294"/>
      <c r="L106" s="294"/>
      <c r="M106" s="294"/>
      <c r="N106" s="294"/>
      <c r="O106" s="294"/>
      <c r="P106" s="294"/>
      <c r="Q106" s="294"/>
      <c r="R106" s="294"/>
      <c r="S106" s="294"/>
      <c r="T106" s="294"/>
      <c r="U106" s="294"/>
      <c r="V106" s="294"/>
      <c r="W106" s="294"/>
      <c r="X106" s="294"/>
      <c r="Y106" s="294"/>
      <c r="Z106" s="294"/>
      <c r="AA106" s="809" t="s">
        <v>20</v>
      </c>
      <c r="AB106" s="810"/>
      <c r="AC106" s="302">
        <v>3099</v>
      </c>
      <c r="AD106" s="811">
        <v>0</v>
      </c>
      <c r="AE106" s="811"/>
      <c r="AF106" s="811"/>
      <c r="AG106" s="811"/>
      <c r="AH106" s="811"/>
      <c r="AI106" s="811"/>
      <c r="AJ106" s="811"/>
      <c r="AK106" s="812"/>
      <c r="AL106" s="277"/>
      <c r="AM106" s="368"/>
      <c r="AN106" s="367"/>
      <c r="AO106" s="255"/>
      <c r="AP106" s="255"/>
      <c r="AQ106" s="255"/>
      <c r="AR106" s="255"/>
      <c r="AS106" s="255"/>
      <c r="BT106" s="121"/>
    </row>
    <row r="107" spans="1:72" ht="16.5" x14ac:dyDescent="0.3">
      <c r="A107" s="255"/>
      <c r="B107" s="373"/>
      <c r="C107" s="294"/>
      <c r="D107" s="294"/>
      <c r="E107" s="294"/>
      <c r="F107" s="294"/>
      <c r="G107" s="294"/>
      <c r="H107" s="294"/>
      <c r="I107" s="294"/>
      <c r="J107" s="294"/>
      <c r="K107" s="294"/>
      <c r="L107" s="294"/>
      <c r="M107" s="294"/>
      <c r="N107" s="294"/>
      <c r="O107" s="294"/>
      <c r="P107" s="294"/>
      <c r="Q107" s="294"/>
      <c r="R107" s="294"/>
      <c r="S107" s="294"/>
      <c r="T107" s="294"/>
      <c r="U107" s="294"/>
      <c r="V107" s="294"/>
      <c r="W107" s="294"/>
      <c r="X107" s="294"/>
      <c r="Y107" s="294"/>
      <c r="Z107" s="294"/>
      <c r="AA107" s="294"/>
      <c r="AB107" s="294"/>
      <c r="AC107" s="294"/>
      <c r="AD107" s="294"/>
      <c r="AE107" s="294"/>
      <c r="AF107" s="294"/>
      <c r="AG107" s="294"/>
      <c r="AH107" s="294"/>
      <c r="AI107" s="294"/>
      <c r="AJ107" s="294"/>
      <c r="AK107" s="294"/>
      <c r="AL107" s="294"/>
      <c r="AM107" s="374"/>
      <c r="AN107" s="367"/>
      <c r="AO107" s="255"/>
      <c r="AP107" s="255"/>
      <c r="AQ107" s="255"/>
      <c r="AR107" s="255"/>
      <c r="AS107" s="255"/>
      <c r="BT107" s="121"/>
    </row>
    <row r="108" spans="1:72" ht="16.5" x14ac:dyDescent="0.3">
      <c r="A108" s="255"/>
      <c r="B108" s="375"/>
      <c r="C108" s="274"/>
      <c r="D108" s="274"/>
      <c r="E108" s="274"/>
      <c r="F108" s="274"/>
      <c r="G108" s="274"/>
      <c r="H108" s="274"/>
      <c r="I108" s="274"/>
      <c r="J108" s="274"/>
      <c r="K108" s="274"/>
      <c r="L108" s="274"/>
      <c r="M108" s="274"/>
      <c r="N108" s="274"/>
      <c r="O108" s="274"/>
      <c r="P108" s="274"/>
      <c r="Q108" s="274"/>
      <c r="R108" s="274"/>
      <c r="S108" s="274"/>
      <c r="T108" s="274"/>
      <c r="U108" s="274"/>
      <c r="V108" s="274"/>
      <c r="W108" s="274"/>
      <c r="X108" s="274"/>
      <c r="Y108" s="274"/>
      <c r="Z108" s="274"/>
      <c r="AA108" s="274"/>
      <c r="AB108" s="274"/>
      <c r="AC108" s="274"/>
      <c r="AD108" s="274"/>
      <c r="AE108" s="274"/>
      <c r="AF108" s="274"/>
      <c r="AG108" s="274"/>
      <c r="AH108" s="274"/>
      <c r="AI108" s="274"/>
      <c r="AJ108" s="274"/>
      <c r="AK108" s="274"/>
      <c r="AL108" s="277"/>
      <c r="AM108" s="376"/>
      <c r="AN108" s="367"/>
      <c r="AO108" s="255"/>
      <c r="AP108" s="255"/>
      <c r="AQ108" s="255"/>
      <c r="AR108" s="255"/>
      <c r="AS108" s="255"/>
      <c r="BT108" s="121"/>
    </row>
    <row r="109" spans="1:72" ht="16.5" x14ac:dyDescent="0.3">
      <c r="A109" s="255"/>
      <c r="B109" s="375"/>
      <c r="C109" s="274"/>
      <c r="D109" s="274"/>
      <c r="E109" s="274"/>
      <c r="F109" s="274"/>
      <c r="G109" s="274"/>
      <c r="H109" s="274"/>
      <c r="I109" s="274"/>
      <c r="J109" s="274"/>
      <c r="K109" s="274"/>
      <c r="L109" s="274"/>
      <c r="M109" s="274"/>
      <c r="N109" s="274"/>
      <c r="O109" s="274"/>
      <c r="P109" s="274"/>
      <c r="Q109" s="274"/>
      <c r="R109" s="274"/>
      <c r="S109" s="274"/>
      <c r="T109" s="274"/>
      <c r="U109" s="274"/>
      <c r="V109" s="274"/>
      <c r="W109" s="274"/>
      <c r="X109" s="274"/>
      <c r="Y109" s="274"/>
      <c r="Z109" s="274"/>
      <c r="AA109" s="274"/>
      <c r="AB109" s="274"/>
      <c r="AC109" s="274"/>
      <c r="AD109" s="274"/>
      <c r="AE109" s="274"/>
      <c r="AF109" s="274"/>
      <c r="AG109" s="274"/>
      <c r="AH109" s="274"/>
      <c r="AI109" s="274"/>
      <c r="AJ109" s="274"/>
      <c r="AK109" s="274"/>
      <c r="AL109" s="277"/>
      <c r="AM109" s="376"/>
      <c r="AN109" s="367"/>
      <c r="AO109" s="255"/>
      <c r="AP109" s="255"/>
      <c r="AQ109" s="255"/>
      <c r="AR109" s="255"/>
      <c r="AS109" s="255"/>
      <c r="BT109" s="121"/>
    </row>
    <row r="110" spans="1:72" ht="15.75" customHeight="1" thickBot="1" x14ac:dyDescent="0.35">
      <c r="A110" s="255"/>
      <c r="B110" s="354"/>
      <c r="C110" s="357"/>
      <c r="D110" s="357"/>
      <c r="E110" s="357"/>
      <c r="F110" s="357"/>
      <c r="G110" s="357"/>
      <c r="H110" s="357"/>
      <c r="I110" s="357"/>
      <c r="J110" s="357"/>
      <c r="K110" s="357"/>
      <c r="L110" s="357"/>
      <c r="M110" s="357"/>
      <c r="N110" s="357"/>
      <c r="O110" s="357"/>
      <c r="P110" s="357"/>
      <c r="Q110" s="357"/>
      <c r="R110" s="357"/>
      <c r="S110" s="357"/>
      <c r="T110" s="357"/>
      <c r="U110" s="357"/>
      <c r="V110" s="357"/>
      <c r="W110" s="357"/>
      <c r="X110" s="357"/>
      <c r="Y110" s="357"/>
      <c r="Z110" s="357"/>
      <c r="AA110" s="357"/>
      <c r="AB110" s="357"/>
      <c r="AC110" s="357"/>
      <c r="AD110" s="357"/>
      <c r="AE110" s="357"/>
      <c r="AF110" s="357"/>
      <c r="AG110" s="357"/>
      <c r="AH110" s="357"/>
      <c r="AI110" s="357"/>
      <c r="AJ110" s="357"/>
      <c r="AK110" s="357"/>
      <c r="AL110" s="357"/>
      <c r="AM110" s="377"/>
      <c r="AN110" s="378"/>
      <c r="AO110" s="255"/>
      <c r="AP110" s="255"/>
      <c r="AQ110" s="255"/>
      <c r="AR110" s="255"/>
      <c r="AS110" s="255"/>
      <c r="BT110" s="121"/>
    </row>
    <row r="111" spans="1:72" x14ac:dyDescent="0.25">
      <c r="A111" s="255"/>
      <c r="B111" s="379"/>
      <c r="C111" s="380"/>
      <c r="D111" s="380"/>
      <c r="E111" s="380"/>
      <c r="F111" s="380"/>
      <c r="G111" s="380"/>
      <c r="H111" s="380"/>
      <c r="I111" s="380"/>
      <c r="J111" s="380"/>
      <c r="K111" s="380"/>
      <c r="L111" s="380"/>
      <c r="M111" s="380"/>
      <c r="N111" s="380"/>
      <c r="O111" s="380"/>
      <c r="P111" s="380"/>
      <c r="Q111" s="380"/>
      <c r="R111" s="380"/>
      <c r="S111" s="380"/>
      <c r="T111" s="380"/>
      <c r="U111" s="380"/>
      <c r="V111" s="380"/>
      <c r="W111" s="380"/>
      <c r="X111" s="380"/>
      <c r="Y111" s="380"/>
      <c r="Z111" s="380"/>
      <c r="AA111" s="380"/>
      <c r="AB111" s="380"/>
      <c r="AC111" s="380"/>
      <c r="AD111" s="380"/>
      <c r="AE111" s="380"/>
      <c r="AF111" s="380"/>
      <c r="AG111" s="380"/>
      <c r="AH111" s="380"/>
      <c r="AI111" s="380"/>
      <c r="AJ111" s="380"/>
      <c r="AK111" s="380"/>
      <c r="AL111" s="380"/>
      <c r="AM111" s="380"/>
      <c r="AN111" s="380"/>
      <c r="AO111" s="380"/>
      <c r="AP111" s="380"/>
      <c r="AQ111" s="380"/>
      <c r="AR111" s="452"/>
      <c r="AS111" s="255"/>
      <c r="BT111" s="121"/>
    </row>
    <row r="112" spans="1:72" x14ac:dyDescent="0.25">
      <c r="A112" s="255"/>
      <c r="B112" s="381"/>
      <c r="C112" s="834" t="s">
        <v>311</v>
      </c>
      <c r="D112" s="835"/>
      <c r="E112" s="835"/>
      <c r="F112" s="835"/>
      <c r="G112" s="835"/>
      <c r="H112" s="835"/>
      <c r="I112" s="835"/>
      <c r="J112" s="835"/>
      <c r="K112" s="835"/>
      <c r="L112" s="835"/>
      <c r="M112" s="835"/>
      <c r="N112" s="835"/>
      <c r="O112" s="835"/>
      <c r="P112" s="835"/>
      <c r="Q112" s="835"/>
      <c r="R112" s="835"/>
      <c r="S112" s="835"/>
      <c r="T112" s="835"/>
      <c r="U112" s="835"/>
      <c r="V112" s="835"/>
      <c r="W112" s="835"/>
      <c r="X112" s="835"/>
      <c r="Y112" s="835"/>
      <c r="Z112" s="835"/>
      <c r="AA112" s="835"/>
      <c r="AB112" s="835"/>
      <c r="AC112" s="835"/>
      <c r="AD112" s="835"/>
      <c r="AE112" s="836"/>
      <c r="AF112" s="843" t="s">
        <v>312</v>
      </c>
      <c r="AG112" s="844"/>
      <c r="AH112" s="844"/>
      <c r="AI112" s="844"/>
      <c r="AJ112" s="844"/>
      <c r="AK112" s="844"/>
      <c r="AL112" s="844"/>
      <c r="AM112" s="844"/>
      <c r="AN112" s="844"/>
      <c r="AO112" s="844"/>
      <c r="AP112" s="844"/>
      <c r="AQ112" s="845"/>
      <c r="AR112" s="453"/>
      <c r="AS112" s="255"/>
      <c r="BT112" s="121"/>
    </row>
    <row r="113" spans="1:72" x14ac:dyDescent="0.25">
      <c r="A113" s="255"/>
      <c r="B113" s="381"/>
      <c r="C113" s="837"/>
      <c r="D113" s="838"/>
      <c r="E113" s="838"/>
      <c r="F113" s="838"/>
      <c r="G113" s="838"/>
      <c r="H113" s="838"/>
      <c r="I113" s="838"/>
      <c r="J113" s="838"/>
      <c r="K113" s="838"/>
      <c r="L113" s="838"/>
      <c r="M113" s="838"/>
      <c r="N113" s="838"/>
      <c r="O113" s="838"/>
      <c r="P113" s="838"/>
      <c r="Q113" s="838"/>
      <c r="R113" s="838"/>
      <c r="S113" s="838"/>
      <c r="T113" s="838"/>
      <c r="U113" s="838"/>
      <c r="V113" s="838"/>
      <c r="W113" s="838"/>
      <c r="X113" s="838"/>
      <c r="Y113" s="838"/>
      <c r="Z113" s="838"/>
      <c r="AA113" s="838"/>
      <c r="AB113" s="838"/>
      <c r="AC113" s="838"/>
      <c r="AD113" s="838"/>
      <c r="AE113" s="839"/>
      <c r="AF113" s="843">
        <v>2014</v>
      </c>
      <c r="AG113" s="844"/>
      <c r="AH113" s="844"/>
      <c r="AI113" s="844"/>
      <c r="AJ113" s="844"/>
      <c r="AK113" s="844"/>
      <c r="AL113" s="844"/>
      <c r="AM113" s="844"/>
      <c r="AN113" s="844"/>
      <c r="AO113" s="844"/>
      <c r="AP113" s="844"/>
      <c r="AQ113" s="845"/>
      <c r="AR113" s="453"/>
      <c r="AS113" s="255"/>
      <c r="BT113" s="121"/>
    </row>
    <row r="114" spans="1:72" ht="30.75" customHeight="1" x14ac:dyDescent="0.25">
      <c r="A114" s="255"/>
      <c r="B114" s="381"/>
      <c r="C114" s="837"/>
      <c r="D114" s="838"/>
      <c r="E114" s="838"/>
      <c r="F114" s="838"/>
      <c r="G114" s="838"/>
      <c r="H114" s="838"/>
      <c r="I114" s="838"/>
      <c r="J114" s="838"/>
      <c r="K114" s="838"/>
      <c r="L114" s="838"/>
      <c r="M114" s="838"/>
      <c r="N114" s="838"/>
      <c r="O114" s="838"/>
      <c r="P114" s="838"/>
      <c r="Q114" s="838"/>
      <c r="R114" s="838"/>
      <c r="S114" s="838"/>
      <c r="T114" s="838"/>
      <c r="U114" s="838"/>
      <c r="V114" s="838"/>
      <c r="W114" s="838"/>
      <c r="X114" s="838"/>
      <c r="Y114" s="838"/>
      <c r="Z114" s="838"/>
      <c r="AA114" s="838"/>
      <c r="AB114" s="838"/>
      <c r="AC114" s="838"/>
      <c r="AD114" s="838"/>
      <c r="AE114" s="839"/>
      <c r="AF114" s="846" t="s">
        <v>313</v>
      </c>
      <c r="AG114" s="847"/>
      <c r="AH114" s="847"/>
      <c r="AI114" s="847"/>
      <c r="AJ114" s="847"/>
      <c r="AK114" s="848"/>
      <c r="AL114" s="846" t="s">
        <v>314</v>
      </c>
      <c r="AM114" s="847"/>
      <c r="AN114" s="847"/>
      <c r="AO114" s="847"/>
      <c r="AP114" s="847"/>
      <c r="AQ114" s="848"/>
      <c r="AR114" s="453"/>
      <c r="AS114" s="255"/>
      <c r="BT114" s="121"/>
    </row>
    <row r="115" spans="1:72" x14ac:dyDescent="0.25">
      <c r="A115" s="255"/>
      <c r="B115" s="381"/>
      <c r="C115" s="840"/>
      <c r="D115" s="841"/>
      <c r="E115" s="841"/>
      <c r="F115" s="841"/>
      <c r="G115" s="841"/>
      <c r="H115" s="841"/>
      <c r="I115" s="841"/>
      <c r="J115" s="841"/>
      <c r="K115" s="841"/>
      <c r="L115" s="841"/>
      <c r="M115" s="841"/>
      <c r="N115" s="841"/>
      <c r="O115" s="841"/>
      <c r="P115" s="841"/>
      <c r="Q115" s="841"/>
      <c r="R115" s="841"/>
      <c r="S115" s="841"/>
      <c r="T115" s="841"/>
      <c r="U115" s="841"/>
      <c r="V115" s="841"/>
      <c r="W115" s="841"/>
      <c r="X115" s="841"/>
      <c r="Y115" s="841"/>
      <c r="Z115" s="841"/>
      <c r="AA115" s="841"/>
      <c r="AB115" s="841"/>
      <c r="AC115" s="841"/>
      <c r="AD115" s="841"/>
      <c r="AE115" s="842"/>
      <c r="AF115" s="843" t="s">
        <v>8</v>
      </c>
      <c r="AG115" s="844"/>
      <c r="AH115" s="845"/>
      <c r="AI115" s="843" t="s">
        <v>315</v>
      </c>
      <c r="AJ115" s="844"/>
      <c r="AK115" s="845"/>
      <c r="AL115" s="843" t="s">
        <v>8</v>
      </c>
      <c r="AM115" s="844"/>
      <c r="AN115" s="845"/>
      <c r="AO115" s="843" t="s">
        <v>315</v>
      </c>
      <c r="AP115" s="844"/>
      <c r="AQ115" s="845"/>
      <c r="AR115" s="453"/>
      <c r="AS115" s="255"/>
      <c r="BT115" s="121"/>
    </row>
    <row r="116" spans="1:72" x14ac:dyDescent="0.25">
      <c r="A116" s="255"/>
      <c r="B116" s="381"/>
      <c r="C116" s="720" t="s">
        <v>123</v>
      </c>
      <c r="D116" s="721"/>
      <c r="E116" s="721"/>
      <c r="F116" s="721"/>
      <c r="G116" s="721"/>
      <c r="H116" s="721"/>
      <c r="I116" s="721"/>
      <c r="J116" s="721"/>
      <c r="K116" s="721"/>
      <c r="L116" s="721"/>
      <c r="M116" s="721"/>
      <c r="N116" s="721"/>
      <c r="O116" s="721"/>
      <c r="P116" s="721"/>
      <c r="Q116" s="721"/>
      <c r="R116" s="721"/>
      <c r="S116" s="721"/>
      <c r="T116" s="721"/>
      <c r="U116" s="721"/>
      <c r="V116" s="721"/>
      <c r="W116" s="721"/>
      <c r="X116" s="721"/>
      <c r="Y116" s="721"/>
      <c r="Z116" s="721"/>
      <c r="AA116" s="721"/>
      <c r="AB116" s="721"/>
      <c r="AC116" s="721"/>
      <c r="AD116" s="721"/>
      <c r="AE116" s="722"/>
      <c r="AF116" s="382" t="s">
        <v>316</v>
      </c>
      <c r="AG116" s="723">
        <v>59.666666666666671</v>
      </c>
      <c r="AH116" s="724"/>
      <c r="AI116" s="382" t="s">
        <v>317</v>
      </c>
      <c r="AJ116" s="723">
        <v>28.5</v>
      </c>
      <c r="AK116" s="724"/>
      <c r="AL116" s="382" t="s">
        <v>318</v>
      </c>
      <c r="AM116" s="723">
        <v>52.966666666666697</v>
      </c>
      <c r="AN116" s="724"/>
      <c r="AO116" s="382" t="s">
        <v>319</v>
      </c>
      <c r="AP116" s="723">
        <v>24.700000000000003</v>
      </c>
      <c r="AQ116" s="724"/>
      <c r="AR116" s="453"/>
      <c r="AS116" s="255"/>
      <c r="BT116" s="121"/>
    </row>
    <row r="117" spans="1:72" x14ac:dyDescent="0.25">
      <c r="A117" s="255"/>
      <c r="B117" s="381"/>
      <c r="C117" s="720" t="s">
        <v>181</v>
      </c>
      <c r="D117" s="721"/>
      <c r="E117" s="721"/>
      <c r="F117" s="721"/>
      <c r="G117" s="721"/>
      <c r="H117" s="721"/>
      <c r="I117" s="721"/>
      <c r="J117" s="721"/>
      <c r="K117" s="721"/>
      <c r="L117" s="721"/>
      <c r="M117" s="721"/>
      <c r="N117" s="721"/>
      <c r="O117" s="721"/>
      <c r="P117" s="721"/>
      <c r="Q117" s="721"/>
      <c r="R117" s="721"/>
      <c r="S117" s="721"/>
      <c r="T117" s="721"/>
      <c r="U117" s="721"/>
      <c r="V117" s="721"/>
      <c r="W117" s="721"/>
      <c r="X117" s="721"/>
      <c r="Y117" s="721"/>
      <c r="Z117" s="721"/>
      <c r="AA117" s="721"/>
      <c r="AB117" s="721"/>
      <c r="AC117" s="721"/>
      <c r="AD117" s="721"/>
      <c r="AE117" s="722"/>
      <c r="AF117" s="382" t="s">
        <v>320</v>
      </c>
      <c r="AG117" s="723">
        <v>458.66666666666663</v>
      </c>
      <c r="AH117" s="724"/>
      <c r="AI117" s="382" t="s">
        <v>321</v>
      </c>
      <c r="AJ117" s="723">
        <v>404</v>
      </c>
      <c r="AK117" s="724"/>
      <c r="AL117" s="382" t="s">
        <v>322</v>
      </c>
      <c r="AM117" s="723">
        <v>426.36666666666662</v>
      </c>
      <c r="AN117" s="724"/>
      <c r="AO117" s="382" t="s">
        <v>323</v>
      </c>
      <c r="AP117" s="723">
        <v>372.2</v>
      </c>
      <c r="AQ117" s="724"/>
      <c r="AR117" s="453"/>
      <c r="AS117" s="255"/>
      <c r="BT117" s="121"/>
    </row>
    <row r="118" spans="1:72" x14ac:dyDescent="0.25">
      <c r="A118" s="255"/>
      <c r="B118" s="381"/>
      <c r="C118" s="720" t="s">
        <v>125</v>
      </c>
      <c r="D118" s="721"/>
      <c r="E118" s="721"/>
      <c r="F118" s="721"/>
      <c r="G118" s="721"/>
      <c r="H118" s="721"/>
      <c r="I118" s="721"/>
      <c r="J118" s="721"/>
      <c r="K118" s="721"/>
      <c r="L118" s="721"/>
      <c r="M118" s="721"/>
      <c r="N118" s="721"/>
      <c r="O118" s="721"/>
      <c r="P118" s="721"/>
      <c r="Q118" s="721"/>
      <c r="R118" s="721"/>
      <c r="S118" s="721"/>
      <c r="T118" s="721"/>
      <c r="U118" s="721"/>
      <c r="V118" s="721"/>
      <c r="W118" s="721"/>
      <c r="X118" s="721"/>
      <c r="Y118" s="721"/>
      <c r="Z118" s="721"/>
      <c r="AA118" s="721"/>
      <c r="AB118" s="721"/>
      <c r="AC118" s="721"/>
      <c r="AD118" s="721"/>
      <c r="AE118" s="722"/>
      <c r="AF118" s="382" t="s">
        <v>324</v>
      </c>
      <c r="AG118" s="723">
        <v>47.833333333333336</v>
      </c>
      <c r="AH118" s="724"/>
      <c r="AI118" s="382" t="s">
        <v>325</v>
      </c>
      <c r="AJ118" s="723">
        <v>44.5</v>
      </c>
      <c r="AK118" s="724"/>
      <c r="AL118" s="382" t="s">
        <v>326</v>
      </c>
      <c r="AM118" s="723">
        <v>47.833333333333336</v>
      </c>
      <c r="AN118" s="724"/>
      <c r="AO118" s="382" t="s">
        <v>327</v>
      </c>
      <c r="AP118" s="723">
        <v>44.5</v>
      </c>
      <c r="AQ118" s="724"/>
      <c r="AR118" s="453"/>
      <c r="AS118" s="255"/>
      <c r="BT118" s="121"/>
    </row>
    <row r="119" spans="1:72" x14ac:dyDescent="0.25">
      <c r="A119" s="255"/>
      <c r="B119" s="381"/>
      <c r="C119" s="383" t="s">
        <v>328</v>
      </c>
      <c r="D119" s="384"/>
      <c r="E119" s="384"/>
      <c r="F119" s="384"/>
      <c r="G119" s="384"/>
      <c r="H119" s="384"/>
      <c r="I119" s="385"/>
      <c r="J119" s="385"/>
      <c r="K119" s="385"/>
      <c r="L119" s="386"/>
      <c r="M119" s="385"/>
      <c r="N119" s="385"/>
      <c r="O119" s="385"/>
      <c r="P119" s="385"/>
      <c r="Q119" s="386"/>
      <c r="R119" s="385"/>
      <c r="S119" s="385"/>
      <c r="T119" s="385"/>
      <c r="U119" s="385"/>
      <c r="V119" s="385"/>
      <c r="W119" s="385"/>
      <c r="X119" s="385"/>
      <c r="Y119" s="385"/>
      <c r="Z119" s="385"/>
      <c r="AA119" s="385"/>
      <c r="AB119" s="385"/>
      <c r="AC119" s="385"/>
      <c r="AD119" s="385"/>
      <c r="AE119" s="387"/>
      <c r="AF119" s="382" t="s">
        <v>329</v>
      </c>
      <c r="AG119" s="723">
        <v>566.16666666666663</v>
      </c>
      <c r="AH119" s="724"/>
      <c r="AI119" s="382" t="s">
        <v>330</v>
      </c>
      <c r="AJ119" s="723">
        <v>477</v>
      </c>
      <c r="AK119" s="724"/>
      <c r="AL119" s="382" t="s">
        <v>331</v>
      </c>
      <c r="AM119" s="723">
        <v>527.16666666666663</v>
      </c>
      <c r="AN119" s="724"/>
      <c r="AO119" s="382" t="s">
        <v>332</v>
      </c>
      <c r="AP119" s="723">
        <v>441.4</v>
      </c>
      <c r="AQ119" s="724"/>
      <c r="AR119" s="453"/>
      <c r="AS119" s="255"/>
      <c r="BT119" s="121"/>
    </row>
    <row r="120" spans="1:72" ht="15.75" thickBot="1" x14ac:dyDescent="0.3">
      <c r="A120" s="255"/>
      <c r="B120" s="388"/>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90"/>
      <c r="AH120" s="389"/>
      <c r="AI120" s="389"/>
      <c r="AJ120" s="390"/>
      <c r="AK120" s="389"/>
      <c r="AL120" s="389"/>
      <c r="AM120" s="390"/>
      <c r="AN120" s="389"/>
      <c r="AO120" s="389"/>
      <c r="AP120" s="390"/>
      <c r="AQ120" s="389"/>
      <c r="AR120" s="454"/>
      <c r="AS120" s="255"/>
      <c r="BT120" s="121"/>
    </row>
    <row r="121" spans="1:72" ht="15.75" thickBot="1" x14ac:dyDescent="0.3">
      <c r="A121" s="255"/>
      <c r="B121" s="255"/>
      <c r="C121" s="391"/>
      <c r="D121" s="391"/>
      <c r="E121" s="391"/>
      <c r="F121" s="391"/>
      <c r="G121" s="391"/>
      <c r="H121" s="391"/>
      <c r="I121" s="391"/>
      <c r="J121" s="391"/>
      <c r="K121" s="391"/>
      <c r="L121" s="391"/>
      <c r="M121" s="391"/>
      <c r="N121" s="391"/>
      <c r="O121" s="391"/>
      <c r="P121" s="391"/>
      <c r="Q121" s="391"/>
      <c r="R121" s="391"/>
      <c r="S121" s="391"/>
      <c r="T121" s="391"/>
      <c r="U121" s="391"/>
      <c r="V121" s="391"/>
      <c r="W121" s="391"/>
      <c r="X121" s="391"/>
      <c r="Y121" s="391"/>
      <c r="Z121" s="391"/>
      <c r="AA121" s="391"/>
      <c r="AB121" s="391"/>
      <c r="AC121" s="391"/>
      <c r="AD121" s="391"/>
      <c r="AE121" s="391"/>
      <c r="AF121" s="391"/>
      <c r="AG121" s="392"/>
      <c r="AH121" s="391"/>
      <c r="AI121" s="391"/>
      <c r="AJ121" s="392"/>
      <c r="AK121" s="391"/>
      <c r="AL121" s="391"/>
      <c r="AM121" s="392"/>
      <c r="AN121" s="391"/>
      <c r="AO121" s="391"/>
      <c r="AP121" s="392"/>
      <c r="AQ121" s="391"/>
      <c r="AR121" s="391"/>
      <c r="AS121" s="255"/>
      <c r="BT121" s="121"/>
    </row>
    <row r="122" spans="1:72" ht="15.75" customHeight="1" x14ac:dyDescent="0.25">
      <c r="A122" s="255"/>
      <c r="B122" s="379"/>
      <c r="C122" s="380"/>
      <c r="D122" s="380"/>
      <c r="E122" s="380"/>
      <c r="F122" s="380"/>
      <c r="G122" s="380"/>
      <c r="H122" s="380"/>
      <c r="I122" s="380"/>
      <c r="J122" s="380"/>
      <c r="K122" s="380"/>
      <c r="L122" s="380"/>
      <c r="M122" s="380"/>
      <c r="N122" s="380"/>
      <c r="O122" s="380"/>
      <c r="P122" s="380"/>
      <c r="Q122" s="380"/>
      <c r="R122" s="380"/>
      <c r="S122" s="380"/>
      <c r="T122" s="380"/>
      <c r="U122" s="380"/>
      <c r="V122" s="380"/>
      <c r="W122" s="380"/>
      <c r="X122" s="380"/>
      <c r="Y122" s="380"/>
      <c r="Z122" s="380"/>
      <c r="AA122" s="380"/>
      <c r="AB122" s="380"/>
      <c r="AC122" s="380"/>
      <c r="AD122" s="380"/>
      <c r="AE122" s="380"/>
      <c r="AF122" s="380"/>
      <c r="AG122" s="380"/>
      <c r="AH122" s="380"/>
      <c r="AI122" s="380"/>
      <c r="AJ122" s="380"/>
      <c r="AK122" s="380"/>
      <c r="AL122" s="380"/>
      <c r="AM122" s="380"/>
      <c r="AN122" s="380"/>
      <c r="AO122" s="380"/>
      <c r="AP122" s="380"/>
      <c r="AQ122" s="380"/>
      <c r="AR122" s="452"/>
      <c r="AS122" s="255"/>
      <c r="BT122" s="121"/>
    </row>
    <row r="123" spans="1:72" x14ac:dyDescent="0.25">
      <c r="A123" s="255"/>
      <c r="B123" s="381"/>
      <c r="C123" s="834" t="s">
        <v>333</v>
      </c>
      <c r="D123" s="835"/>
      <c r="E123" s="835"/>
      <c r="F123" s="835"/>
      <c r="G123" s="835"/>
      <c r="H123" s="835"/>
      <c r="I123" s="835"/>
      <c r="J123" s="835"/>
      <c r="K123" s="835"/>
      <c r="L123" s="835"/>
      <c r="M123" s="835"/>
      <c r="N123" s="835"/>
      <c r="O123" s="835"/>
      <c r="P123" s="835"/>
      <c r="Q123" s="835"/>
      <c r="R123" s="835"/>
      <c r="S123" s="835"/>
      <c r="T123" s="835"/>
      <c r="U123" s="835"/>
      <c r="V123" s="835"/>
      <c r="W123" s="835"/>
      <c r="X123" s="835"/>
      <c r="Y123" s="835"/>
      <c r="Z123" s="835"/>
      <c r="AA123" s="835"/>
      <c r="AB123" s="835"/>
      <c r="AC123" s="835"/>
      <c r="AD123" s="835"/>
      <c r="AE123" s="836"/>
      <c r="AF123" s="843" t="s">
        <v>312</v>
      </c>
      <c r="AG123" s="844"/>
      <c r="AH123" s="844"/>
      <c r="AI123" s="844"/>
      <c r="AJ123" s="844"/>
      <c r="AK123" s="844"/>
      <c r="AL123" s="844"/>
      <c r="AM123" s="844"/>
      <c r="AN123" s="844"/>
      <c r="AO123" s="844"/>
      <c r="AP123" s="844"/>
      <c r="AQ123" s="845"/>
      <c r="AR123" s="453"/>
      <c r="AS123" s="255"/>
      <c r="BT123" s="121"/>
    </row>
    <row r="124" spans="1:72" x14ac:dyDescent="0.25">
      <c r="A124" s="255"/>
      <c r="B124" s="381"/>
      <c r="C124" s="837"/>
      <c r="D124" s="838"/>
      <c r="E124" s="838"/>
      <c r="F124" s="838"/>
      <c r="G124" s="838"/>
      <c r="H124" s="838"/>
      <c r="I124" s="838"/>
      <c r="J124" s="838"/>
      <c r="K124" s="838"/>
      <c r="L124" s="838"/>
      <c r="M124" s="838"/>
      <c r="N124" s="838"/>
      <c r="O124" s="838"/>
      <c r="P124" s="838"/>
      <c r="Q124" s="838"/>
      <c r="R124" s="838"/>
      <c r="S124" s="838"/>
      <c r="T124" s="838"/>
      <c r="U124" s="838"/>
      <c r="V124" s="838"/>
      <c r="W124" s="838"/>
      <c r="X124" s="838"/>
      <c r="Y124" s="838"/>
      <c r="Z124" s="838"/>
      <c r="AA124" s="838"/>
      <c r="AB124" s="838"/>
      <c r="AC124" s="838"/>
      <c r="AD124" s="838"/>
      <c r="AE124" s="839"/>
      <c r="AF124" s="843">
        <v>2014</v>
      </c>
      <c r="AG124" s="844"/>
      <c r="AH124" s="844"/>
      <c r="AI124" s="844"/>
      <c r="AJ124" s="844"/>
      <c r="AK124" s="844"/>
      <c r="AL124" s="844"/>
      <c r="AM124" s="844"/>
      <c r="AN124" s="844"/>
      <c r="AO124" s="844"/>
      <c r="AP124" s="844"/>
      <c r="AQ124" s="845"/>
      <c r="AR124" s="453"/>
      <c r="AS124" s="255"/>
      <c r="BT124" s="121"/>
    </row>
    <row r="125" spans="1:72" x14ac:dyDescent="0.25">
      <c r="A125" s="255"/>
      <c r="B125" s="381"/>
      <c r="C125" s="837"/>
      <c r="D125" s="838"/>
      <c r="E125" s="838"/>
      <c r="F125" s="838"/>
      <c r="G125" s="838"/>
      <c r="H125" s="838"/>
      <c r="I125" s="838"/>
      <c r="J125" s="838"/>
      <c r="K125" s="838"/>
      <c r="L125" s="838"/>
      <c r="M125" s="838"/>
      <c r="N125" s="838"/>
      <c r="O125" s="838"/>
      <c r="P125" s="838"/>
      <c r="Q125" s="838"/>
      <c r="R125" s="838"/>
      <c r="S125" s="838"/>
      <c r="T125" s="838"/>
      <c r="U125" s="838"/>
      <c r="V125" s="838"/>
      <c r="W125" s="838"/>
      <c r="X125" s="838"/>
      <c r="Y125" s="838"/>
      <c r="Z125" s="838"/>
      <c r="AA125" s="838"/>
      <c r="AB125" s="838"/>
      <c r="AC125" s="838"/>
      <c r="AD125" s="838"/>
      <c r="AE125" s="839"/>
      <c r="AF125" s="846" t="s">
        <v>313</v>
      </c>
      <c r="AG125" s="847"/>
      <c r="AH125" s="847"/>
      <c r="AI125" s="847"/>
      <c r="AJ125" s="847"/>
      <c r="AK125" s="848"/>
      <c r="AL125" s="846" t="s">
        <v>314</v>
      </c>
      <c r="AM125" s="847"/>
      <c r="AN125" s="847"/>
      <c r="AO125" s="847"/>
      <c r="AP125" s="847"/>
      <c r="AQ125" s="848"/>
      <c r="AR125" s="453"/>
      <c r="AS125" s="255"/>
      <c r="BT125" s="121"/>
    </row>
    <row r="126" spans="1:72" x14ac:dyDescent="0.25">
      <c r="A126" s="255"/>
      <c r="B126" s="381"/>
      <c r="C126" s="840"/>
      <c r="D126" s="841"/>
      <c r="E126" s="841"/>
      <c r="F126" s="841"/>
      <c r="G126" s="841"/>
      <c r="H126" s="841"/>
      <c r="I126" s="841"/>
      <c r="J126" s="841"/>
      <c r="K126" s="841"/>
      <c r="L126" s="841"/>
      <c r="M126" s="841"/>
      <c r="N126" s="841"/>
      <c r="O126" s="841"/>
      <c r="P126" s="841"/>
      <c r="Q126" s="841"/>
      <c r="R126" s="841"/>
      <c r="S126" s="841"/>
      <c r="T126" s="841"/>
      <c r="U126" s="841"/>
      <c r="V126" s="841"/>
      <c r="W126" s="841"/>
      <c r="X126" s="841"/>
      <c r="Y126" s="841"/>
      <c r="Z126" s="841"/>
      <c r="AA126" s="841"/>
      <c r="AB126" s="841"/>
      <c r="AC126" s="841"/>
      <c r="AD126" s="841"/>
      <c r="AE126" s="842"/>
      <c r="AF126" s="843" t="s">
        <v>8</v>
      </c>
      <c r="AG126" s="844"/>
      <c r="AH126" s="845"/>
      <c r="AI126" s="843" t="s">
        <v>315</v>
      </c>
      <c r="AJ126" s="844"/>
      <c r="AK126" s="845"/>
      <c r="AL126" s="843" t="s">
        <v>8</v>
      </c>
      <c r="AM126" s="844"/>
      <c r="AN126" s="845"/>
      <c r="AO126" s="843" t="s">
        <v>315</v>
      </c>
      <c r="AP126" s="844"/>
      <c r="AQ126" s="845"/>
      <c r="AR126" s="453"/>
      <c r="AS126" s="255"/>
      <c r="BT126" s="121"/>
    </row>
    <row r="127" spans="1:72" ht="30.75" customHeight="1" x14ac:dyDescent="0.25">
      <c r="A127" s="255"/>
      <c r="B127" s="381"/>
      <c r="C127" s="720" t="s">
        <v>123</v>
      </c>
      <c r="D127" s="721"/>
      <c r="E127" s="721"/>
      <c r="F127" s="721"/>
      <c r="G127" s="721"/>
      <c r="H127" s="721"/>
      <c r="I127" s="721"/>
      <c r="J127" s="721"/>
      <c r="K127" s="721"/>
      <c r="L127" s="721"/>
      <c r="M127" s="721"/>
      <c r="N127" s="721"/>
      <c r="O127" s="721"/>
      <c r="P127" s="721"/>
      <c r="Q127" s="721"/>
      <c r="R127" s="721"/>
      <c r="S127" s="721"/>
      <c r="T127" s="721"/>
      <c r="U127" s="721"/>
      <c r="V127" s="721"/>
      <c r="W127" s="721"/>
      <c r="X127" s="721"/>
      <c r="Y127" s="721"/>
      <c r="Z127" s="721"/>
      <c r="AA127" s="721"/>
      <c r="AB127" s="721"/>
      <c r="AC127" s="721"/>
      <c r="AD127" s="721"/>
      <c r="AE127" s="722"/>
      <c r="AF127" s="382" t="s">
        <v>316</v>
      </c>
      <c r="AG127" s="723">
        <v>13.666666666666668</v>
      </c>
      <c r="AH127" s="724"/>
      <c r="AI127" s="382" t="s">
        <v>317</v>
      </c>
      <c r="AJ127" s="723">
        <v>6.666666666666667</v>
      </c>
      <c r="AK127" s="724"/>
      <c r="AL127" s="382" t="s">
        <v>318</v>
      </c>
      <c r="AM127" s="723">
        <v>13.266666666666667</v>
      </c>
      <c r="AN127" s="724"/>
      <c r="AO127" s="382" t="s">
        <v>319</v>
      </c>
      <c r="AP127" s="723">
        <v>6.2666666666666675</v>
      </c>
      <c r="AQ127" s="724"/>
      <c r="AR127" s="453"/>
      <c r="AS127" s="255"/>
      <c r="BT127" s="121"/>
    </row>
    <row r="128" spans="1:72" x14ac:dyDescent="0.25">
      <c r="A128" s="255"/>
      <c r="B128" s="381"/>
      <c r="C128" s="720" t="s">
        <v>181</v>
      </c>
      <c r="D128" s="721"/>
      <c r="E128" s="721"/>
      <c r="F128" s="721"/>
      <c r="G128" s="721"/>
      <c r="H128" s="721"/>
      <c r="I128" s="721"/>
      <c r="J128" s="721"/>
      <c r="K128" s="721"/>
      <c r="L128" s="721"/>
      <c r="M128" s="721"/>
      <c r="N128" s="721"/>
      <c r="O128" s="721"/>
      <c r="P128" s="721"/>
      <c r="Q128" s="721"/>
      <c r="R128" s="721"/>
      <c r="S128" s="721"/>
      <c r="T128" s="721"/>
      <c r="U128" s="721"/>
      <c r="V128" s="721"/>
      <c r="W128" s="721"/>
      <c r="X128" s="721"/>
      <c r="Y128" s="721"/>
      <c r="Z128" s="721"/>
      <c r="AA128" s="721"/>
      <c r="AB128" s="721"/>
      <c r="AC128" s="721"/>
      <c r="AD128" s="721"/>
      <c r="AE128" s="722"/>
      <c r="AF128" s="382" t="s">
        <v>320</v>
      </c>
      <c r="AG128" s="723">
        <v>89.166666666666657</v>
      </c>
      <c r="AH128" s="724"/>
      <c r="AI128" s="382" t="s">
        <v>321</v>
      </c>
      <c r="AJ128" s="723">
        <v>54.666666666666664</v>
      </c>
      <c r="AK128" s="724"/>
      <c r="AL128" s="382" t="s">
        <v>322</v>
      </c>
      <c r="AM128" s="723">
        <v>85.466666666666654</v>
      </c>
      <c r="AN128" s="724"/>
      <c r="AO128" s="382" t="s">
        <v>323</v>
      </c>
      <c r="AP128" s="723">
        <v>50.966666666666661</v>
      </c>
      <c r="AQ128" s="724"/>
      <c r="AR128" s="453"/>
      <c r="AS128" s="255"/>
      <c r="BT128" s="121"/>
    </row>
    <row r="129" spans="1:72" x14ac:dyDescent="0.25">
      <c r="A129" s="255"/>
      <c r="B129" s="381"/>
      <c r="C129" s="720" t="s">
        <v>125</v>
      </c>
      <c r="D129" s="721"/>
      <c r="E129" s="721"/>
      <c r="F129" s="721"/>
      <c r="G129" s="721"/>
      <c r="H129" s="721"/>
      <c r="I129" s="721"/>
      <c r="J129" s="721"/>
      <c r="K129" s="721"/>
      <c r="L129" s="721"/>
      <c r="M129" s="721"/>
      <c r="N129" s="721"/>
      <c r="O129" s="721"/>
      <c r="P129" s="721"/>
      <c r="Q129" s="721"/>
      <c r="R129" s="721"/>
      <c r="S129" s="721"/>
      <c r="T129" s="721"/>
      <c r="U129" s="721"/>
      <c r="V129" s="721"/>
      <c r="W129" s="721"/>
      <c r="X129" s="721"/>
      <c r="Y129" s="721"/>
      <c r="Z129" s="721"/>
      <c r="AA129" s="721"/>
      <c r="AB129" s="721"/>
      <c r="AC129" s="721"/>
      <c r="AD129" s="721"/>
      <c r="AE129" s="722"/>
      <c r="AF129" s="382" t="s">
        <v>324</v>
      </c>
      <c r="AG129" s="723">
        <v>6.166666666666667</v>
      </c>
      <c r="AH129" s="724"/>
      <c r="AI129" s="382" t="s">
        <v>325</v>
      </c>
      <c r="AJ129" s="723">
        <v>6.166666666666667</v>
      </c>
      <c r="AK129" s="724"/>
      <c r="AL129" s="382" t="s">
        <v>326</v>
      </c>
      <c r="AM129" s="723">
        <v>6.166666666666667</v>
      </c>
      <c r="AN129" s="724"/>
      <c r="AO129" s="382" t="s">
        <v>327</v>
      </c>
      <c r="AP129" s="723">
        <v>6.166666666666667</v>
      </c>
      <c r="AQ129" s="724"/>
      <c r="AR129" s="453"/>
      <c r="AS129" s="255"/>
      <c r="BT129" s="121"/>
    </row>
    <row r="130" spans="1:72" x14ac:dyDescent="0.25">
      <c r="A130" s="255"/>
      <c r="B130" s="381"/>
      <c r="C130" s="383" t="s">
        <v>328</v>
      </c>
      <c r="D130" s="384"/>
      <c r="E130" s="384"/>
      <c r="F130" s="384"/>
      <c r="G130" s="384"/>
      <c r="H130" s="384"/>
      <c r="I130" s="385"/>
      <c r="J130" s="385"/>
      <c r="K130" s="385"/>
      <c r="L130" s="386"/>
      <c r="M130" s="385"/>
      <c r="N130" s="385"/>
      <c r="O130" s="385"/>
      <c r="P130" s="385"/>
      <c r="Q130" s="386"/>
      <c r="R130" s="385"/>
      <c r="S130" s="385"/>
      <c r="T130" s="385"/>
      <c r="U130" s="385"/>
      <c r="V130" s="385"/>
      <c r="W130" s="385"/>
      <c r="X130" s="385"/>
      <c r="Y130" s="385"/>
      <c r="Z130" s="385"/>
      <c r="AA130" s="385"/>
      <c r="AB130" s="385"/>
      <c r="AC130" s="385"/>
      <c r="AD130" s="385"/>
      <c r="AE130" s="387"/>
      <c r="AF130" s="382" t="s">
        <v>329</v>
      </c>
      <c r="AG130" s="723">
        <v>109</v>
      </c>
      <c r="AH130" s="724"/>
      <c r="AI130" s="382" t="s">
        <v>330</v>
      </c>
      <c r="AJ130" s="723">
        <v>67.5</v>
      </c>
      <c r="AK130" s="724"/>
      <c r="AL130" s="382" t="s">
        <v>331</v>
      </c>
      <c r="AM130" s="723">
        <v>104.89999999999999</v>
      </c>
      <c r="AN130" s="724"/>
      <c r="AO130" s="382" t="s">
        <v>332</v>
      </c>
      <c r="AP130" s="723">
        <v>63.399999999999991</v>
      </c>
      <c r="AQ130" s="724"/>
      <c r="AR130" s="453"/>
      <c r="AS130" s="255"/>
      <c r="BT130" s="121"/>
    </row>
    <row r="131" spans="1:72" ht="15.75" thickBot="1" x14ac:dyDescent="0.3">
      <c r="A131" s="255"/>
      <c r="B131" s="388"/>
      <c r="C131" s="389"/>
      <c r="D131" s="389"/>
      <c r="E131" s="389"/>
      <c r="F131" s="389"/>
      <c r="G131" s="389"/>
      <c r="H131" s="389"/>
      <c r="I131" s="389"/>
      <c r="J131" s="389"/>
      <c r="K131" s="389"/>
      <c r="L131" s="389"/>
      <c r="M131" s="389"/>
      <c r="N131" s="389"/>
      <c r="O131" s="389"/>
      <c r="P131" s="389"/>
      <c r="Q131" s="389"/>
      <c r="R131" s="389"/>
      <c r="S131" s="389"/>
      <c r="T131" s="389"/>
      <c r="U131" s="389"/>
      <c r="V131" s="389"/>
      <c r="W131" s="389"/>
      <c r="X131" s="389"/>
      <c r="Y131" s="389"/>
      <c r="Z131" s="389"/>
      <c r="AA131" s="389"/>
      <c r="AB131" s="389"/>
      <c r="AC131" s="389"/>
      <c r="AD131" s="389"/>
      <c r="AE131" s="389"/>
      <c r="AF131" s="389"/>
      <c r="AG131" s="390"/>
      <c r="AH131" s="389"/>
      <c r="AI131" s="389"/>
      <c r="AJ131" s="390"/>
      <c r="AK131" s="389"/>
      <c r="AL131" s="389"/>
      <c r="AM131" s="390"/>
      <c r="AN131" s="389"/>
      <c r="AO131" s="389"/>
      <c r="AP131" s="390"/>
      <c r="AQ131" s="389"/>
      <c r="AR131" s="454"/>
      <c r="AS131" s="255"/>
      <c r="BT131" s="121"/>
    </row>
    <row r="132" spans="1:72" ht="15.75" thickBot="1" x14ac:dyDescent="0.3">
      <c r="A132" s="255"/>
      <c r="B132" s="255"/>
      <c r="C132" s="391"/>
      <c r="D132" s="391"/>
      <c r="E132" s="391"/>
      <c r="F132" s="391"/>
      <c r="G132" s="391"/>
      <c r="H132" s="391"/>
      <c r="I132" s="391"/>
      <c r="J132" s="391"/>
      <c r="K132" s="391"/>
      <c r="L132" s="391"/>
      <c r="M132" s="391"/>
      <c r="N132" s="391"/>
      <c r="O132" s="391"/>
      <c r="P132" s="391"/>
      <c r="Q132" s="391"/>
      <c r="R132" s="391"/>
      <c r="S132" s="391"/>
      <c r="T132" s="391"/>
      <c r="U132" s="391"/>
      <c r="V132" s="391"/>
      <c r="W132" s="391"/>
      <c r="X132" s="391"/>
      <c r="Y132" s="391"/>
      <c r="Z132" s="391"/>
      <c r="AA132" s="391"/>
      <c r="AB132" s="391"/>
      <c r="AC132" s="391"/>
      <c r="AD132" s="391"/>
      <c r="AE132" s="391"/>
      <c r="AF132" s="391"/>
      <c r="AG132" s="392"/>
      <c r="AH132" s="391"/>
      <c r="AI132" s="391"/>
      <c r="AJ132" s="392"/>
      <c r="AK132" s="391"/>
      <c r="AL132" s="391"/>
      <c r="AM132" s="392"/>
      <c r="AN132" s="391"/>
      <c r="AO132" s="391"/>
      <c r="AP132" s="392"/>
      <c r="AQ132" s="391"/>
      <c r="AR132" s="391"/>
      <c r="AS132" s="255"/>
      <c r="BT132" s="121"/>
    </row>
    <row r="133" spans="1:72" ht="15" customHeight="1" x14ac:dyDescent="0.25">
      <c r="A133" s="255"/>
      <c r="B133" s="379"/>
      <c r="C133" s="380"/>
      <c r="D133" s="380"/>
      <c r="E133" s="380"/>
      <c r="F133" s="380"/>
      <c r="G133" s="380"/>
      <c r="H133" s="380"/>
      <c r="I133" s="380"/>
      <c r="J133" s="380"/>
      <c r="K133" s="380"/>
      <c r="L133" s="380"/>
      <c r="M133" s="380"/>
      <c r="N133" s="380"/>
      <c r="O133" s="380"/>
      <c r="P133" s="380"/>
      <c r="Q133" s="380"/>
      <c r="R133" s="380"/>
      <c r="S133" s="380"/>
      <c r="T133" s="380"/>
      <c r="U133" s="380"/>
      <c r="V133" s="380"/>
      <c r="W133" s="380"/>
      <c r="X133" s="380"/>
      <c r="Y133" s="380"/>
      <c r="Z133" s="380"/>
      <c r="AA133" s="380"/>
      <c r="AB133" s="380"/>
      <c r="AC133" s="380"/>
      <c r="AD133" s="380"/>
      <c r="AE133" s="380"/>
      <c r="AF133" s="380"/>
      <c r="AG133" s="380"/>
      <c r="AH133" s="380"/>
      <c r="AI133" s="380"/>
      <c r="AJ133" s="380"/>
      <c r="AK133" s="380"/>
      <c r="AL133" s="380"/>
      <c r="AM133" s="380"/>
      <c r="AN133" s="380"/>
      <c r="AO133" s="380"/>
      <c r="AP133" s="380"/>
      <c r="AQ133" s="380"/>
      <c r="AR133" s="452"/>
      <c r="AS133" s="255"/>
      <c r="BT133" s="121"/>
    </row>
    <row r="134" spans="1:72" x14ac:dyDescent="0.25">
      <c r="A134" s="255"/>
      <c r="B134" s="381"/>
      <c r="C134" s="834" t="s">
        <v>334</v>
      </c>
      <c r="D134" s="835"/>
      <c r="E134" s="835"/>
      <c r="F134" s="835"/>
      <c r="G134" s="835"/>
      <c r="H134" s="835"/>
      <c r="I134" s="835"/>
      <c r="J134" s="835"/>
      <c r="K134" s="835"/>
      <c r="L134" s="835"/>
      <c r="M134" s="835"/>
      <c r="N134" s="835"/>
      <c r="O134" s="835"/>
      <c r="P134" s="835"/>
      <c r="Q134" s="835"/>
      <c r="R134" s="835"/>
      <c r="S134" s="835"/>
      <c r="T134" s="835"/>
      <c r="U134" s="835"/>
      <c r="V134" s="835"/>
      <c r="W134" s="835"/>
      <c r="X134" s="835"/>
      <c r="Y134" s="835"/>
      <c r="Z134" s="835"/>
      <c r="AA134" s="835"/>
      <c r="AB134" s="835"/>
      <c r="AC134" s="835"/>
      <c r="AD134" s="835"/>
      <c r="AE134" s="836"/>
      <c r="AF134" s="843" t="s">
        <v>312</v>
      </c>
      <c r="AG134" s="844"/>
      <c r="AH134" s="844"/>
      <c r="AI134" s="844"/>
      <c r="AJ134" s="844"/>
      <c r="AK134" s="844"/>
      <c r="AL134" s="844"/>
      <c r="AM134" s="844"/>
      <c r="AN134" s="844"/>
      <c r="AO134" s="844"/>
      <c r="AP134" s="844"/>
      <c r="AQ134" s="845"/>
      <c r="AR134" s="453"/>
      <c r="AS134" s="255"/>
      <c r="BT134" s="121"/>
    </row>
    <row r="135" spans="1:72" x14ac:dyDescent="0.25">
      <c r="A135" s="255"/>
      <c r="B135" s="381"/>
      <c r="C135" s="837"/>
      <c r="D135" s="838"/>
      <c r="E135" s="838"/>
      <c r="F135" s="838"/>
      <c r="G135" s="838"/>
      <c r="H135" s="838"/>
      <c r="I135" s="838"/>
      <c r="J135" s="838"/>
      <c r="K135" s="838"/>
      <c r="L135" s="838"/>
      <c r="M135" s="838"/>
      <c r="N135" s="838"/>
      <c r="O135" s="838"/>
      <c r="P135" s="838"/>
      <c r="Q135" s="838"/>
      <c r="R135" s="838"/>
      <c r="S135" s="838"/>
      <c r="T135" s="838"/>
      <c r="U135" s="838"/>
      <c r="V135" s="838"/>
      <c r="W135" s="838"/>
      <c r="X135" s="838"/>
      <c r="Y135" s="838"/>
      <c r="Z135" s="838"/>
      <c r="AA135" s="838"/>
      <c r="AB135" s="838"/>
      <c r="AC135" s="838"/>
      <c r="AD135" s="838"/>
      <c r="AE135" s="839"/>
      <c r="AF135" s="843" t="s">
        <v>541</v>
      </c>
      <c r="AG135" s="844"/>
      <c r="AH135" s="844"/>
      <c r="AI135" s="844"/>
      <c r="AJ135" s="844"/>
      <c r="AK135" s="844"/>
      <c r="AL135" s="844"/>
      <c r="AM135" s="844"/>
      <c r="AN135" s="844"/>
      <c r="AO135" s="844"/>
      <c r="AP135" s="844"/>
      <c r="AQ135" s="845"/>
      <c r="AR135" s="453"/>
      <c r="AS135" s="255"/>
      <c r="BT135" s="121"/>
    </row>
    <row r="136" spans="1:72" x14ac:dyDescent="0.25">
      <c r="A136" s="255"/>
      <c r="B136" s="381"/>
      <c r="C136" s="837"/>
      <c r="D136" s="838"/>
      <c r="E136" s="838"/>
      <c r="F136" s="838"/>
      <c r="G136" s="838"/>
      <c r="H136" s="838"/>
      <c r="I136" s="838"/>
      <c r="J136" s="838"/>
      <c r="K136" s="838"/>
      <c r="L136" s="838"/>
      <c r="M136" s="838"/>
      <c r="N136" s="838"/>
      <c r="O136" s="838"/>
      <c r="P136" s="838"/>
      <c r="Q136" s="838"/>
      <c r="R136" s="838"/>
      <c r="S136" s="838"/>
      <c r="T136" s="838"/>
      <c r="U136" s="838"/>
      <c r="V136" s="838"/>
      <c r="W136" s="838"/>
      <c r="X136" s="838"/>
      <c r="Y136" s="838"/>
      <c r="Z136" s="838"/>
      <c r="AA136" s="838"/>
      <c r="AB136" s="838"/>
      <c r="AC136" s="838"/>
      <c r="AD136" s="838"/>
      <c r="AE136" s="839"/>
      <c r="AF136" s="846" t="s">
        <v>313</v>
      </c>
      <c r="AG136" s="847"/>
      <c r="AH136" s="847"/>
      <c r="AI136" s="847"/>
      <c r="AJ136" s="847"/>
      <c r="AK136" s="848"/>
      <c r="AL136" s="846" t="s">
        <v>335</v>
      </c>
      <c r="AM136" s="847"/>
      <c r="AN136" s="847"/>
      <c r="AO136" s="847"/>
      <c r="AP136" s="847"/>
      <c r="AQ136" s="848"/>
      <c r="AR136" s="453"/>
      <c r="AS136" s="255"/>
      <c r="BT136" s="121"/>
    </row>
    <row r="137" spans="1:72" x14ac:dyDescent="0.25">
      <c r="A137" s="255"/>
      <c r="B137" s="381"/>
      <c r="C137" s="840"/>
      <c r="D137" s="841"/>
      <c r="E137" s="841"/>
      <c r="F137" s="841"/>
      <c r="G137" s="841"/>
      <c r="H137" s="841"/>
      <c r="I137" s="841"/>
      <c r="J137" s="841"/>
      <c r="K137" s="841"/>
      <c r="L137" s="841"/>
      <c r="M137" s="841"/>
      <c r="N137" s="841"/>
      <c r="O137" s="841"/>
      <c r="P137" s="841"/>
      <c r="Q137" s="841"/>
      <c r="R137" s="841"/>
      <c r="S137" s="841"/>
      <c r="T137" s="841"/>
      <c r="U137" s="841"/>
      <c r="V137" s="841"/>
      <c r="W137" s="841"/>
      <c r="X137" s="841"/>
      <c r="Y137" s="841"/>
      <c r="Z137" s="841"/>
      <c r="AA137" s="841"/>
      <c r="AB137" s="841"/>
      <c r="AC137" s="841"/>
      <c r="AD137" s="841"/>
      <c r="AE137" s="842"/>
      <c r="AF137" s="843" t="s">
        <v>8</v>
      </c>
      <c r="AG137" s="844"/>
      <c r="AH137" s="845"/>
      <c r="AI137" s="843" t="s">
        <v>315</v>
      </c>
      <c r="AJ137" s="844"/>
      <c r="AK137" s="845"/>
      <c r="AL137" s="843" t="s">
        <v>8</v>
      </c>
      <c r="AM137" s="844"/>
      <c r="AN137" s="845"/>
      <c r="AO137" s="843" t="s">
        <v>315</v>
      </c>
      <c r="AP137" s="844"/>
      <c r="AQ137" s="845"/>
      <c r="AR137" s="453"/>
      <c r="AS137" s="255"/>
      <c r="BT137" s="121"/>
    </row>
    <row r="138" spans="1:72" x14ac:dyDescent="0.25">
      <c r="A138" s="255"/>
      <c r="B138" s="381"/>
      <c r="C138" s="720" t="s">
        <v>336</v>
      </c>
      <c r="D138" s="721"/>
      <c r="E138" s="721"/>
      <c r="F138" s="721"/>
      <c r="G138" s="721"/>
      <c r="H138" s="721"/>
      <c r="I138" s="721"/>
      <c r="J138" s="721"/>
      <c r="K138" s="721"/>
      <c r="L138" s="721"/>
      <c r="M138" s="721"/>
      <c r="N138" s="721"/>
      <c r="O138" s="721"/>
      <c r="P138" s="721"/>
      <c r="Q138" s="721"/>
      <c r="R138" s="721"/>
      <c r="S138" s="721"/>
      <c r="T138" s="721"/>
      <c r="U138" s="721"/>
      <c r="V138" s="721"/>
      <c r="W138" s="721"/>
      <c r="X138" s="721"/>
      <c r="Y138" s="721"/>
      <c r="Z138" s="721"/>
      <c r="AA138" s="721"/>
      <c r="AB138" s="721"/>
      <c r="AC138" s="721"/>
      <c r="AD138" s="721"/>
      <c r="AE138" s="722"/>
      <c r="AF138" s="393" t="s">
        <v>337</v>
      </c>
      <c r="AG138" s="723">
        <v>62.333333333333336</v>
      </c>
      <c r="AH138" s="724"/>
      <c r="AI138" s="393" t="s">
        <v>338</v>
      </c>
      <c r="AJ138" s="723">
        <v>9.6666666666666679</v>
      </c>
      <c r="AK138" s="724"/>
      <c r="AL138" s="393" t="s">
        <v>339</v>
      </c>
      <c r="AM138" s="723">
        <v>58.133333333333333</v>
      </c>
      <c r="AN138" s="724"/>
      <c r="AO138" s="393" t="s">
        <v>340</v>
      </c>
      <c r="AP138" s="723">
        <v>8.8666666666666671</v>
      </c>
      <c r="AQ138" s="724"/>
      <c r="AR138" s="453"/>
      <c r="AS138" s="255"/>
      <c r="BT138" s="121"/>
    </row>
    <row r="139" spans="1:72" ht="15" customHeight="1" x14ac:dyDescent="0.25">
      <c r="A139" s="255"/>
      <c r="B139" s="381"/>
      <c r="C139" s="720" t="s">
        <v>341</v>
      </c>
      <c r="D139" s="721"/>
      <c r="E139" s="721"/>
      <c r="F139" s="721"/>
      <c r="G139" s="721"/>
      <c r="H139" s="721"/>
      <c r="I139" s="721"/>
      <c r="J139" s="721"/>
      <c r="K139" s="721"/>
      <c r="L139" s="721"/>
      <c r="M139" s="721"/>
      <c r="N139" s="721"/>
      <c r="O139" s="721"/>
      <c r="P139" s="721"/>
      <c r="Q139" s="721"/>
      <c r="R139" s="721"/>
      <c r="S139" s="721"/>
      <c r="T139" s="721"/>
      <c r="U139" s="721"/>
      <c r="V139" s="721"/>
      <c r="W139" s="721"/>
      <c r="X139" s="721"/>
      <c r="Y139" s="721"/>
      <c r="Z139" s="721"/>
      <c r="AA139" s="721"/>
      <c r="AB139" s="721"/>
      <c r="AC139" s="721"/>
      <c r="AD139" s="721"/>
      <c r="AE139" s="722"/>
      <c r="AF139" s="393" t="s">
        <v>342</v>
      </c>
      <c r="AG139" s="723">
        <v>58.5</v>
      </c>
      <c r="AH139" s="724"/>
      <c r="AI139" s="393" t="s">
        <v>343</v>
      </c>
      <c r="AJ139" s="723">
        <v>40.166666666666671</v>
      </c>
      <c r="AK139" s="724"/>
      <c r="AL139" s="393" t="s">
        <v>344</v>
      </c>
      <c r="AM139" s="723">
        <v>58.5</v>
      </c>
      <c r="AN139" s="724"/>
      <c r="AO139" s="393" t="s">
        <v>345</v>
      </c>
      <c r="AP139" s="723">
        <v>40.166666666666671</v>
      </c>
      <c r="AQ139" s="724"/>
      <c r="AR139" s="453"/>
      <c r="AS139" s="255"/>
      <c r="BT139" s="121"/>
    </row>
    <row r="140" spans="1:72" x14ac:dyDescent="0.25">
      <c r="A140" s="255"/>
      <c r="B140" s="381"/>
      <c r="C140" s="720" t="s">
        <v>346</v>
      </c>
      <c r="D140" s="721"/>
      <c r="E140" s="721"/>
      <c r="F140" s="721"/>
      <c r="G140" s="721"/>
      <c r="H140" s="721"/>
      <c r="I140" s="721"/>
      <c r="J140" s="721"/>
      <c r="K140" s="721"/>
      <c r="L140" s="721"/>
      <c r="M140" s="721"/>
      <c r="N140" s="721"/>
      <c r="O140" s="721"/>
      <c r="P140" s="721"/>
      <c r="Q140" s="721"/>
      <c r="R140" s="721"/>
      <c r="S140" s="721"/>
      <c r="T140" s="721"/>
      <c r="U140" s="721"/>
      <c r="V140" s="721"/>
      <c r="W140" s="721"/>
      <c r="X140" s="721"/>
      <c r="Y140" s="721"/>
      <c r="Z140" s="721"/>
      <c r="AA140" s="721"/>
      <c r="AB140" s="721"/>
      <c r="AC140" s="721"/>
      <c r="AD140" s="721"/>
      <c r="AE140" s="722"/>
      <c r="AF140" s="393" t="s">
        <v>347</v>
      </c>
      <c r="AG140" s="723">
        <v>174.5</v>
      </c>
      <c r="AH140" s="724"/>
      <c r="AI140" s="393" t="s">
        <v>348</v>
      </c>
      <c r="AJ140" s="723">
        <v>159.66666666666669</v>
      </c>
      <c r="AK140" s="724"/>
      <c r="AL140" s="393" t="s">
        <v>349</v>
      </c>
      <c r="AM140" s="723">
        <v>148.19999999999999</v>
      </c>
      <c r="AN140" s="724"/>
      <c r="AO140" s="393" t="s">
        <v>350</v>
      </c>
      <c r="AP140" s="723">
        <v>133.36666666666667</v>
      </c>
      <c r="AQ140" s="724"/>
      <c r="AR140" s="453"/>
      <c r="AS140" s="255"/>
      <c r="BT140" s="121"/>
    </row>
    <row r="141" spans="1:72" x14ac:dyDescent="0.25">
      <c r="A141" s="255"/>
      <c r="B141" s="381"/>
      <c r="C141" s="720" t="s">
        <v>351</v>
      </c>
      <c r="D141" s="721"/>
      <c r="E141" s="721"/>
      <c r="F141" s="721"/>
      <c r="G141" s="721"/>
      <c r="H141" s="721"/>
      <c r="I141" s="721"/>
      <c r="J141" s="721"/>
      <c r="K141" s="721"/>
      <c r="L141" s="721"/>
      <c r="M141" s="721"/>
      <c r="N141" s="721"/>
      <c r="O141" s="721"/>
      <c r="P141" s="721"/>
      <c r="Q141" s="721"/>
      <c r="R141" s="721"/>
      <c r="S141" s="721"/>
      <c r="T141" s="721"/>
      <c r="U141" s="721"/>
      <c r="V141" s="721"/>
      <c r="W141" s="721"/>
      <c r="X141" s="721"/>
      <c r="Y141" s="721"/>
      <c r="Z141" s="721"/>
      <c r="AA141" s="721"/>
      <c r="AB141" s="721"/>
      <c r="AC141" s="721"/>
      <c r="AD141" s="721"/>
      <c r="AE141" s="722"/>
      <c r="AF141" s="393" t="s">
        <v>352</v>
      </c>
      <c r="AG141" s="723">
        <v>238.83333333333334</v>
      </c>
      <c r="AH141" s="724"/>
      <c r="AI141" s="393" t="s">
        <v>353</v>
      </c>
      <c r="AJ141" s="723">
        <v>235.5</v>
      </c>
      <c r="AK141" s="724"/>
      <c r="AL141" s="393" t="s">
        <v>354</v>
      </c>
      <c r="AM141" s="723">
        <v>230.33333333333334</v>
      </c>
      <c r="AN141" s="724"/>
      <c r="AO141" s="393" t="s">
        <v>355</v>
      </c>
      <c r="AP141" s="723">
        <v>227</v>
      </c>
      <c r="AQ141" s="724"/>
      <c r="AR141" s="453"/>
      <c r="AS141" s="255"/>
      <c r="BT141" s="121"/>
    </row>
    <row r="142" spans="1:72" x14ac:dyDescent="0.25">
      <c r="A142" s="255"/>
      <c r="B142" s="381"/>
      <c r="C142" s="720" t="s">
        <v>71</v>
      </c>
      <c r="D142" s="721"/>
      <c r="E142" s="721"/>
      <c r="F142" s="721"/>
      <c r="G142" s="721"/>
      <c r="H142" s="721"/>
      <c r="I142" s="721"/>
      <c r="J142" s="721"/>
      <c r="K142" s="721"/>
      <c r="L142" s="721"/>
      <c r="M142" s="721"/>
      <c r="N142" s="721"/>
      <c r="O142" s="721"/>
      <c r="P142" s="721"/>
      <c r="Q142" s="721"/>
      <c r="R142" s="721"/>
      <c r="S142" s="721"/>
      <c r="T142" s="721"/>
      <c r="U142" s="721"/>
      <c r="V142" s="721"/>
      <c r="W142" s="721"/>
      <c r="X142" s="721"/>
      <c r="Y142" s="721"/>
      <c r="Z142" s="721"/>
      <c r="AA142" s="721"/>
      <c r="AB142" s="721"/>
      <c r="AC142" s="721"/>
      <c r="AD142" s="721"/>
      <c r="AE142" s="722"/>
      <c r="AF142" s="393" t="s">
        <v>356</v>
      </c>
      <c r="AG142" s="723">
        <v>32</v>
      </c>
      <c r="AH142" s="724"/>
      <c r="AI142" s="393" t="s">
        <v>357</v>
      </c>
      <c r="AJ142" s="723">
        <v>32</v>
      </c>
      <c r="AK142" s="724"/>
      <c r="AL142" s="393" t="s">
        <v>358</v>
      </c>
      <c r="AM142" s="723">
        <v>32</v>
      </c>
      <c r="AN142" s="724"/>
      <c r="AO142" s="393" t="s">
        <v>359</v>
      </c>
      <c r="AP142" s="723">
        <v>32</v>
      </c>
      <c r="AQ142" s="724"/>
      <c r="AR142" s="453"/>
      <c r="AS142" s="255"/>
      <c r="BT142" s="121"/>
    </row>
    <row r="143" spans="1:72" ht="15" customHeight="1" x14ac:dyDescent="0.25">
      <c r="A143" s="255"/>
      <c r="B143" s="381"/>
      <c r="C143" s="728" t="s">
        <v>328</v>
      </c>
      <c r="D143" s="729"/>
      <c r="E143" s="729"/>
      <c r="F143" s="729"/>
      <c r="G143" s="729"/>
      <c r="H143" s="729"/>
      <c r="I143" s="729"/>
      <c r="J143" s="729"/>
      <c r="K143" s="729"/>
      <c r="L143" s="729"/>
      <c r="M143" s="729"/>
      <c r="N143" s="729"/>
      <c r="O143" s="729"/>
      <c r="P143" s="729"/>
      <c r="Q143" s="729"/>
      <c r="R143" s="729"/>
      <c r="S143" s="729"/>
      <c r="T143" s="729"/>
      <c r="U143" s="729"/>
      <c r="V143" s="729"/>
      <c r="W143" s="729"/>
      <c r="X143" s="729"/>
      <c r="Y143" s="729"/>
      <c r="Z143" s="729"/>
      <c r="AA143" s="729"/>
      <c r="AB143" s="729"/>
      <c r="AC143" s="729"/>
      <c r="AD143" s="729"/>
      <c r="AE143" s="730"/>
      <c r="AF143" s="393" t="s">
        <v>360</v>
      </c>
      <c r="AG143" s="723">
        <v>566.16666666666674</v>
      </c>
      <c r="AH143" s="724"/>
      <c r="AI143" s="393" t="s">
        <v>361</v>
      </c>
      <c r="AJ143" s="723">
        <v>477</v>
      </c>
      <c r="AK143" s="724"/>
      <c r="AL143" s="393" t="s">
        <v>362</v>
      </c>
      <c r="AM143" s="723">
        <v>527.16666666666663</v>
      </c>
      <c r="AN143" s="724"/>
      <c r="AO143" s="393" t="s">
        <v>363</v>
      </c>
      <c r="AP143" s="723">
        <v>441.4</v>
      </c>
      <c r="AQ143" s="724"/>
      <c r="AR143" s="453"/>
      <c r="AS143" s="255"/>
      <c r="BT143" s="121"/>
    </row>
    <row r="144" spans="1:72" ht="16.5" thickBot="1" x14ac:dyDescent="0.3">
      <c r="A144" s="255"/>
      <c r="B144" s="388"/>
      <c r="C144" s="394"/>
      <c r="D144" s="394"/>
      <c r="E144" s="394"/>
      <c r="F144" s="394"/>
      <c r="G144" s="394"/>
      <c r="H144" s="394"/>
      <c r="I144" s="394"/>
      <c r="J144" s="394"/>
      <c r="K144" s="394"/>
      <c r="L144" s="394"/>
      <c r="M144" s="394"/>
      <c r="N144" s="394"/>
      <c r="O144" s="394"/>
      <c r="P144" s="394"/>
      <c r="Q144" s="394"/>
      <c r="R144" s="394"/>
      <c r="S144" s="394"/>
      <c r="T144" s="394"/>
      <c r="U144" s="394"/>
      <c r="V144" s="394"/>
      <c r="W144" s="394"/>
      <c r="X144" s="394"/>
      <c r="Y144" s="394"/>
      <c r="Z144" s="394"/>
      <c r="AA144" s="394"/>
      <c r="AB144" s="394"/>
      <c r="AC144" s="394"/>
      <c r="AD144" s="394"/>
      <c r="AE144" s="394"/>
      <c r="AF144" s="395"/>
      <c r="AG144" s="396"/>
      <c r="AH144" s="396"/>
      <c r="AI144" s="395"/>
      <c r="AJ144" s="396"/>
      <c r="AK144" s="396"/>
      <c r="AL144" s="395"/>
      <c r="AM144" s="396"/>
      <c r="AN144" s="396"/>
      <c r="AO144" s="395"/>
      <c r="AP144" s="396"/>
      <c r="AQ144" s="396"/>
      <c r="AR144" s="454"/>
      <c r="AS144" s="255"/>
      <c r="BT144" s="121"/>
    </row>
    <row r="145" spans="1:72" ht="15.75" thickBot="1" x14ac:dyDescent="0.3">
      <c r="A145" s="255"/>
      <c r="B145" s="255"/>
      <c r="C145" s="391"/>
      <c r="D145" s="391"/>
      <c r="E145" s="391"/>
      <c r="F145" s="391"/>
      <c r="G145" s="391"/>
      <c r="H145" s="391"/>
      <c r="I145" s="391"/>
      <c r="J145" s="391"/>
      <c r="K145" s="391"/>
      <c r="L145" s="391"/>
      <c r="M145" s="391"/>
      <c r="N145" s="391"/>
      <c r="O145" s="391"/>
      <c r="P145" s="391"/>
      <c r="Q145" s="391"/>
      <c r="R145" s="391"/>
      <c r="S145" s="391"/>
      <c r="T145" s="391"/>
      <c r="U145" s="391"/>
      <c r="V145" s="391"/>
      <c r="W145" s="391"/>
      <c r="X145" s="391"/>
      <c r="Y145" s="391"/>
      <c r="Z145" s="391"/>
      <c r="AA145" s="391"/>
      <c r="AB145" s="391"/>
      <c r="AC145" s="391"/>
      <c r="AD145" s="391"/>
      <c r="AE145" s="391"/>
      <c r="AF145" s="391"/>
      <c r="AG145" s="392"/>
      <c r="AH145" s="391"/>
      <c r="AI145" s="391"/>
      <c r="AJ145" s="392"/>
      <c r="AK145" s="391"/>
      <c r="AL145" s="391"/>
      <c r="AM145" s="392"/>
      <c r="AN145" s="391"/>
      <c r="AO145" s="391"/>
      <c r="AP145" s="392"/>
      <c r="AQ145" s="391"/>
      <c r="AR145" s="391"/>
      <c r="AS145" s="255"/>
      <c r="BT145" s="121"/>
    </row>
    <row r="146" spans="1:72" x14ac:dyDescent="0.25">
      <c r="A146" s="255"/>
      <c r="B146" s="379"/>
      <c r="C146" s="380"/>
      <c r="D146" s="380"/>
      <c r="E146" s="380"/>
      <c r="F146" s="380"/>
      <c r="G146" s="380"/>
      <c r="H146" s="380"/>
      <c r="I146" s="380"/>
      <c r="J146" s="380"/>
      <c r="K146" s="380"/>
      <c r="L146" s="380"/>
      <c r="M146" s="380"/>
      <c r="N146" s="380"/>
      <c r="O146" s="380"/>
      <c r="P146" s="380"/>
      <c r="Q146" s="380"/>
      <c r="R146" s="380"/>
      <c r="S146" s="380"/>
      <c r="T146" s="380"/>
      <c r="U146" s="380"/>
      <c r="V146" s="380"/>
      <c r="W146" s="380"/>
      <c r="X146" s="380"/>
      <c r="Y146" s="380"/>
      <c r="Z146" s="380"/>
      <c r="AA146" s="380"/>
      <c r="AB146" s="380"/>
      <c r="AC146" s="380"/>
      <c r="AD146" s="380"/>
      <c r="AE146" s="380"/>
      <c r="AF146" s="380"/>
      <c r="AG146" s="380"/>
      <c r="AH146" s="380"/>
      <c r="AI146" s="380"/>
      <c r="AJ146" s="380"/>
      <c r="AK146" s="380"/>
      <c r="AL146" s="380"/>
      <c r="AM146" s="380"/>
      <c r="AN146" s="380"/>
      <c r="AO146" s="380"/>
      <c r="AP146" s="380"/>
      <c r="AQ146" s="380"/>
      <c r="AR146" s="452"/>
      <c r="AS146" s="255"/>
      <c r="BT146" s="121"/>
    </row>
    <row r="147" spans="1:72" x14ac:dyDescent="0.25">
      <c r="A147" s="255"/>
      <c r="B147" s="381"/>
      <c r="C147" s="834" t="s">
        <v>364</v>
      </c>
      <c r="D147" s="835"/>
      <c r="E147" s="835"/>
      <c r="F147" s="835"/>
      <c r="G147" s="835"/>
      <c r="H147" s="835"/>
      <c r="I147" s="835"/>
      <c r="J147" s="835"/>
      <c r="K147" s="835"/>
      <c r="L147" s="835"/>
      <c r="M147" s="835"/>
      <c r="N147" s="835"/>
      <c r="O147" s="835"/>
      <c r="P147" s="835"/>
      <c r="Q147" s="835"/>
      <c r="R147" s="835"/>
      <c r="S147" s="835"/>
      <c r="T147" s="835"/>
      <c r="U147" s="835"/>
      <c r="V147" s="835"/>
      <c r="W147" s="835"/>
      <c r="X147" s="835"/>
      <c r="Y147" s="835"/>
      <c r="Z147" s="835"/>
      <c r="AA147" s="835"/>
      <c r="AB147" s="835"/>
      <c r="AC147" s="835"/>
      <c r="AD147" s="835"/>
      <c r="AE147" s="836"/>
      <c r="AF147" s="843" t="s">
        <v>312</v>
      </c>
      <c r="AG147" s="844"/>
      <c r="AH147" s="844"/>
      <c r="AI147" s="844"/>
      <c r="AJ147" s="844"/>
      <c r="AK147" s="844"/>
      <c r="AL147" s="844"/>
      <c r="AM147" s="844"/>
      <c r="AN147" s="844"/>
      <c r="AO147" s="844"/>
      <c r="AP147" s="844"/>
      <c r="AQ147" s="845"/>
      <c r="AR147" s="453"/>
      <c r="AS147" s="255"/>
      <c r="BT147" s="121"/>
    </row>
    <row r="148" spans="1:72" x14ac:dyDescent="0.25">
      <c r="A148" s="255"/>
      <c r="B148" s="381"/>
      <c r="C148" s="837"/>
      <c r="D148" s="838"/>
      <c r="E148" s="838"/>
      <c r="F148" s="838"/>
      <c r="G148" s="838"/>
      <c r="H148" s="838"/>
      <c r="I148" s="838"/>
      <c r="J148" s="838"/>
      <c r="K148" s="838"/>
      <c r="L148" s="838"/>
      <c r="M148" s="838"/>
      <c r="N148" s="838"/>
      <c r="O148" s="838"/>
      <c r="P148" s="838"/>
      <c r="Q148" s="838"/>
      <c r="R148" s="838"/>
      <c r="S148" s="838"/>
      <c r="T148" s="838"/>
      <c r="U148" s="838"/>
      <c r="V148" s="838"/>
      <c r="W148" s="838"/>
      <c r="X148" s="838"/>
      <c r="Y148" s="838"/>
      <c r="Z148" s="838"/>
      <c r="AA148" s="838"/>
      <c r="AB148" s="838"/>
      <c r="AC148" s="838"/>
      <c r="AD148" s="838"/>
      <c r="AE148" s="839"/>
      <c r="AF148" s="843" t="s">
        <v>541</v>
      </c>
      <c r="AG148" s="844"/>
      <c r="AH148" s="844"/>
      <c r="AI148" s="844"/>
      <c r="AJ148" s="844"/>
      <c r="AK148" s="844"/>
      <c r="AL148" s="844"/>
      <c r="AM148" s="844"/>
      <c r="AN148" s="844"/>
      <c r="AO148" s="844"/>
      <c r="AP148" s="844"/>
      <c r="AQ148" s="845"/>
      <c r="AR148" s="453"/>
      <c r="AS148" s="255"/>
      <c r="BT148" s="121"/>
    </row>
    <row r="149" spans="1:72" x14ac:dyDescent="0.25">
      <c r="A149" s="255"/>
      <c r="B149" s="381"/>
      <c r="C149" s="837"/>
      <c r="D149" s="838"/>
      <c r="E149" s="838"/>
      <c r="F149" s="838"/>
      <c r="G149" s="838"/>
      <c r="H149" s="838"/>
      <c r="I149" s="838"/>
      <c r="J149" s="838"/>
      <c r="K149" s="838"/>
      <c r="L149" s="838"/>
      <c r="M149" s="838"/>
      <c r="N149" s="838"/>
      <c r="O149" s="838"/>
      <c r="P149" s="838"/>
      <c r="Q149" s="838"/>
      <c r="R149" s="838"/>
      <c r="S149" s="838"/>
      <c r="T149" s="838"/>
      <c r="U149" s="838"/>
      <c r="V149" s="838"/>
      <c r="W149" s="838"/>
      <c r="X149" s="838"/>
      <c r="Y149" s="838"/>
      <c r="Z149" s="838"/>
      <c r="AA149" s="838"/>
      <c r="AB149" s="838"/>
      <c r="AC149" s="838"/>
      <c r="AD149" s="838"/>
      <c r="AE149" s="839"/>
      <c r="AF149" s="846" t="s">
        <v>313</v>
      </c>
      <c r="AG149" s="847"/>
      <c r="AH149" s="847"/>
      <c r="AI149" s="847"/>
      <c r="AJ149" s="847"/>
      <c r="AK149" s="848"/>
      <c r="AL149" s="846" t="s">
        <v>335</v>
      </c>
      <c r="AM149" s="847"/>
      <c r="AN149" s="847"/>
      <c r="AO149" s="847"/>
      <c r="AP149" s="847"/>
      <c r="AQ149" s="848"/>
      <c r="AR149" s="453"/>
      <c r="AS149" s="255"/>
      <c r="BT149" s="121"/>
    </row>
    <row r="150" spans="1:72" x14ac:dyDescent="0.25">
      <c r="A150" s="255"/>
      <c r="B150" s="381"/>
      <c r="C150" s="840"/>
      <c r="D150" s="841"/>
      <c r="E150" s="841"/>
      <c r="F150" s="841"/>
      <c r="G150" s="841"/>
      <c r="H150" s="841"/>
      <c r="I150" s="841"/>
      <c r="J150" s="841"/>
      <c r="K150" s="841"/>
      <c r="L150" s="841"/>
      <c r="M150" s="841"/>
      <c r="N150" s="841"/>
      <c r="O150" s="841"/>
      <c r="P150" s="841"/>
      <c r="Q150" s="841"/>
      <c r="R150" s="841"/>
      <c r="S150" s="841"/>
      <c r="T150" s="841"/>
      <c r="U150" s="841"/>
      <c r="V150" s="841"/>
      <c r="W150" s="841"/>
      <c r="X150" s="841"/>
      <c r="Y150" s="841"/>
      <c r="Z150" s="841"/>
      <c r="AA150" s="841"/>
      <c r="AB150" s="841"/>
      <c r="AC150" s="841"/>
      <c r="AD150" s="841"/>
      <c r="AE150" s="842"/>
      <c r="AF150" s="843" t="s">
        <v>8</v>
      </c>
      <c r="AG150" s="844"/>
      <c r="AH150" s="845"/>
      <c r="AI150" s="843" t="s">
        <v>315</v>
      </c>
      <c r="AJ150" s="844"/>
      <c r="AK150" s="845"/>
      <c r="AL150" s="843" t="s">
        <v>8</v>
      </c>
      <c r="AM150" s="844"/>
      <c r="AN150" s="845"/>
      <c r="AO150" s="843" t="s">
        <v>315</v>
      </c>
      <c r="AP150" s="844"/>
      <c r="AQ150" s="845"/>
      <c r="AR150" s="453"/>
      <c r="AS150" s="255"/>
      <c r="BT150" s="121"/>
    </row>
    <row r="151" spans="1:72" x14ac:dyDescent="0.25">
      <c r="A151" s="255"/>
      <c r="B151" s="381"/>
      <c r="C151" s="720" t="s">
        <v>336</v>
      </c>
      <c r="D151" s="721"/>
      <c r="E151" s="721"/>
      <c r="F151" s="721"/>
      <c r="G151" s="721"/>
      <c r="H151" s="721"/>
      <c r="I151" s="721"/>
      <c r="J151" s="721"/>
      <c r="K151" s="721"/>
      <c r="L151" s="721"/>
      <c r="M151" s="721"/>
      <c r="N151" s="721"/>
      <c r="O151" s="721"/>
      <c r="P151" s="721"/>
      <c r="Q151" s="721"/>
      <c r="R151" s="721"/>
      <c r="S151" s="721"/>
      <c r="T151" s="721"/>
      <c r="U151" s="721"/>
      <c r="V151" s="721"/>
      <c r="W151" s="721"/>
      <c r="X151" s="721"/>
      <c r="Y151" s="721"/>
      <c r="Z151" s="721"/>
      <c r="AA151" s="721"/>
      <c r="AB151" s="721"/>
      <c r="AC151" s="721"/>
      <c r="AD151" s="721"/>
      <c r="AE151" s="722"/>
      <c r="AF151" s="393" t="s">
        <v>337</v>
      </c>
      <c r="AG151" s="723">
        <v>36.666666666666671</v>
      </c>
      <c r="AH151" s="724"/>
      <c r="AI151" s="393" t="s">
        <v>338</v>
      </c>
      <c r="AJ151" s="723">
        <v>9.6666666666666679</v>
      </c>
      <c r="AK151" s="724"/>
      <c r="AL151" s="393" t="s">
        <v>339</v>
      </c>
      <c r="AM151" s="723">
        <v>32.966666666666669</v>
      </c>
      <c r="AN151" s="724"/>
      <c r="AO151" s="393" t="s">
        <v>340</v>
      </c>
      <c r="AP151" s="723">
        <v>8.8666666666666671</v>
      </c>
      <c r="AQ151" s="724"/>
      <c r="AR151" s="453"/>
      <c r="AS151" s="255"/>
      <c r="BT151" s="121"/>
    </row>
    <row r="152" spans="1:72" x14ac:dyDescent="0.25">
      <c r="A152" s="255"/>
      <c r="B152" s="381"/>
      <c r="C152" s="720" t="s">
        <v>341</v>
      </c>
      <c r="D152" s="721"/>
      <c r="E152" s="721"/>
      <c r="F152" s="721"/>
      <c r="G152" s="721"/>
      <c r="H152" s="721"/>
      <c r="I152" s="721"/>
      <c r="J152" s="721"/>
      <c r="K152" s="721"/>
      <c r="L152" s="721"/>
      <c r="M152" s="721"/>
      <c r="N152" s="721"/>
      <c r="O152" s="721"/>
      <c r="P152" s="721"/>
      <c r="Q152" s="721"/>
      <c r="R152" s="721"/>
      <c r="S152" s="721"/>
      <c r="T152" s="721"/>
      <c r="U152" s="721"/>
      <c r="V152" s="721"/>
      <c r="W152" s="721"/>
      <c r="X152" s="721"/>
      <c r="Y152" s="721"/>
      <c r="Z152" s="721"/>
      <c r="AA152" s="721"/>
      <c r="AB152" s="721"/>
      <c r="AC152" s="721"/>
      <c r="AD152" s="721"/>
      <c r="AE152" s="722"/>
      <c r="AF152" s="393" t="s">
        <v>342</v>
      </c>
      <c r="AG152" s="723">
        <v>6</v>
      </c>
      <c r="AH152" s="724"/>
      <c r="AI152" s="393" t="s">
        <v>343</v>
      </c>
      <c r="AJ152" s="723">
        <v>1.8333333333333335</v>
      </c>
      <c r="AK152" s="724"/>
      <c r="AL152" s="393" t="s">
        <v>344</v>
      </c>
      <c r="AM152" s="723">
        <v>6</v>
      </c>
      <c r="AN152" s="724"/>
      <c r="AO152" s="393" t="s">
        <v>345</v>
      </c>
      <c r="AP152" s="723">
        <v>1.8333333333333335</v>
      </c>
      <c r="AQ152" s="724"/>
      <c r="AR152" s="453"/>
      <c r="AS152" s="255"/>
      <c r="BT152" s="121"/>
    </row>
    <row r="153" spans="1:72" x14ac:dyDescent="0.25">
      <c r="A153" s="255"/>
      <c r="B153" s="381"/>
      <c r="C153" s="720" t="s">
        <v>346</v>
      </c>
      <c r="D153" s="721"/>
      <c r="E153" s="721"/>
      <c r="F153" s="721"/>
      <c r="G153" s="721"/>
      <c r="H153" s="721"/>
      <c r="I153" s="721"/>
      <c r="J153" s="721"/>
      <c r="K153" s="721"/>
      <c r="L153" s="721"/>
      <c r="M153" s="721"/>
      <c r="N153" s="721"/>
      <c r="O153" s="721"/>
      <c r="P153" s="721"/>
      <c r="Q153" s="721"/>
      <c r="R153" s="721"/>
      <c r="S153" s="721"/>
      <c r="T153" s="721"/>
      <c r="U153" s="721"/>
      <c r="V153" s="721"/>
      <c r="W153" s="721"/>
      <c r="X153" s="721"/>
      <c r="Y153" s="721"/>
      <c r="Z153" s="721"/>
      <c r="AA153" s="721"/>
      <c r="AB153" s="721"/>
      <c r="AC153" s="721"/>
      <c r="AD153" s="721"/>
      <c r="AE153" s="722"/>
      <c r="AF153" s="393" t="s">
        <v>347</v>
      </c>
      <c r="AG153" s="723">
        <v>17</v>
      </c>
      <c r="AH153" s="724"/>
      <c r="AI153" s="393" t="s">
        <v>348</v>
      </c>
      <c r="AJ153" s="723">
        <v>17</v>
      </c>
      <c r="AK153" s="724"/>
      <c r="AL153" s="393" t="s">
        <v>349</v>
      </c>
      <c r="AM153" s="723">
        <v>14</v>
      </c>
      <c r="AN153" s="724"/>
      <c r="AO153" s="393" t="s">
        <v>350</v>
      </c>
      <c r="AP153" s="723">
        <v>14</v>
      </c>
      <c r="AQ153" s="724"/>
      <c r="AR153" s="453"/>
      <c r="AS153" s="255"/>
      <c r="BT153" s="121"/>
    </row>
    <row r="154" spans="1:72" x14ac:dyDescent="0.25">
      <c r="A154" s="255"/>
      <c r="B154" s="381"/>
      <c r="C154" s="720" t="s">
        <v>351</v>
      </c>
      <c r="D154" s="721"/>
      <c r="E154" s="721"/>
      <c r="F154" s="721"/>
      <c r="G154" s="721"/>
      <c r="H154" s="721"/>
      <c r="I154" s="721"/>
      <c r="J154" s="721"/>
      <c r="K154" s="721"/>
      <c r="L154" s="721"/>
      <c r="M154" s="721"/>
      <c r="N154" s="721"/>
      <c r="O154" s="721"/>
      <c r="P154" s="721"/>
      <c r="Q154" s="721"/>
      <c r="R154" s="721"/>
      <c r="S154" s="721"/>
      <c r="T154" s="721"/>
      <c r="U154" s="721"/>
      <c r="V154" s="721"/>
      <c r="W154" s="721"/>
      <c r="X154" s="721"/>
      <c r="Y154" s="721"/>
      <c r="Z154" s="721"/>
      <c r="AA154" s="721"/>
      <c r="AB154" s="721"/>
      <c r="AC154" s="721"/>
      <c r="AD154" s="721"/>
      <c r="AE154" s="722"/>
      <c r="AF154" s="393" t="s">
        <v>352</v>
      </c>
      <c r="AG154" s="723">
        <v>0</v>
      </c>
      <c r="AH154" s="724"/>
      <c r="AI154" s="393" t="s">
        <v>353</v>
      </c>
      <c r="AJ154" s="723">
        <v>0</v>
      </c>
      <c r="AK154" s="724"/>
      <c r="AL154" s="393" t="s">
        <v>354</v>
      </c>
      <c r="AM154" s="723">
        <v>0</v>
      </c>
      <c r="AN154" s="724"/>
      <c r="AO154" s="393" t="s">
        <v>355</v>
      </c>
      <c r="AP154" s="723">
        <v>0</v>
      </c>
      <c r="AQ154" s="724"/>
      <c r="AR154" s="453"/>
      <c r="AS154" s="255"/>
      <c r="BT154" s="121"/>
    </row>
    <row r="155" spans="1:72" x14ac:dyDescent="0.25">
      <c r="A155" s="255"/>
      <c r="B155" s="381"/>
      <c r="C155" s="720" t="s">
        <v>71</v>
      </c>
      <c r="D155" s="721"/>
      <c r="E155" s="721"/>
      <c r="F155" s="721"/>
      <c r="G155" s="721"/>
      <c r="H155" s="721"/>
      <c r="I155" s="721"/>
      <c r="J155" s="721"/>
      <c r="K155" s="721"/>
      <c r="L155" s="721"/>
      <c r="M155" s="721"/>
      <c r="N155" s="721"/>
      <c r="O155" s="721"/>
      <c r="P155" s="721"/>
      <c r="Q155" s="721"/>
      <c r="R155" s="721"/>
      <c r="S155" s="721"/>
      <c r="T155" s="721"/>
      <c r="U155" s="721"/>
      <c r="V155" s="721"/>
      <c r="W155" s="721"/>
      <c r="X155" s="721"/>
      <c r="Y155" s="721"/>
      <c r="Z155" s="721"/>
      <c r="AA155" s="721"/>
      <c r="AB155" s="721"/>
      <c r="AC155" s="721"/>
      <c r="AD155" s="721"/>
      <c r="AE155" s="722"/>
      <c r="AF155" s="393" t="s">
        <v>356</v>
      </c>
      <c r="AG155" s="723">
        <v>0</v>
      </c>
      <c r="AH155" s="724"/>
      <c r="AI155" s="393" t="s">
        <v>357</v>
      </c>
      <c r="AJ155" s="723">
        <v>0</v>
      </c>
      <c r="AK155" s="724"/>
      <c r="AL155" s="393" t="s">
        <v>358</v>
      </c>
      <c r="AM155" s="723">
        <v>0</v>
      </c>
      <c r="AN155" s="724"/>
      <c r="AO155" s="393" t="s">
        <v>359</v>
      </c>
      <c r="AP155" s="723">
        <v>0</v>
      </c>
      <c r="AQ155" s="724"/>
      <c r="AR155" s="453"/>
      <c r="AS155" s="255"/>
      <c r="BT155" s="121"/>
    </row>
    <row r="156" spans="1:72" x14ac:dyDescent="0.25">
      <c r="A156" s="255"/>
      <c r="B156" s="381"/>
      <c r="C156" s="728" t="s">
        <v>328</v>
      </c>
      <c r="D156" s="729"/>
      <c r="E156" s="729"/>
      <c r="F156" s="729"/>
      <c r="G156" s="729"/>
      <c r="H156" s="729"/>
      <c r="I156" s="729"/>
      <c r="J156" s="729"/>
      <c r="K156" s="729"/>
      <c r="L156" s="729"/>
      <c r="M156" s="729"/>
      <c r="N156" s="729"/>
      <c r="O156" s="729"/>
      <c r="P156" s="729"/>
      <c r="Q156" s="729"/>
      <c r="R156" s="729"/>
      <c r="S156" s="729"/>
      <c r="T156" s="729"/>
      <c r="U156" s="729"/>
      <c r="V156" s="729"/>
      <c r="W156" s="729"/>
      <c r="X156" s="729"/>
      <c r="Y156" s="729"/>
      <c r="Z156" s="729"/>
      <c r="AA156" s="729"/>
      <c r="AB156" s="729"/>
      <c r="AC156" s="729"/>
      <c r="AD156" s="729"/>
      <c r="AE156" s="730"/>
      <c r="AF156" s="393" t="s">
        <v>360</v>
      </c>
      <c r="AG156" s="723">
        <v>59.666666666666671</v>
      </c>
      <c r="AH156" s="724"/>
      <c r="AI156" s="393" t="s">
        <v>361</v>
      </c>
      <c r="AJ156" s="723">
        <v>28.5</v>
      </c>
      <c r="AK156" s="724"/>
      <c r="AL156" s="393" t="s">
        <v>362</v>
      </c>
      <c r="AM156" s="723">
        <v>52.966666666666669</v>
      </c>
      <c r="AN156" s="724"/>
      <c r="AO156" s="393" t="s">
        <v>363</v>
      </c>
      <c r="AP156" s="723">
        <v>24.700000000000003</v>
      </c>
      <c r="AQ156" s="724"/>
      <c r="AR156" s="453"/>
      <c r="AS156" s="255"/>
      <c r="BT156" s="121"/>
    </row>
    <row r="157" spans="1:72" ht="16.5" thickBot="1" x14ac:dyDescent="0.3">
      <c r="A157" s="255"/>
      <c r="B157" s="388"/>
      <c r="C157" s="394"/>
      <c r="D157" s="394"/>
      <c r="E157" s="394"/>
      <c r="F157" s="394"/>
      <c r="G157" s="394"/>
      <c r="H157" s="394"/>
      <c r="I157" s="394"/>
      <c r="J157" s="394"/>
      <c r="K157" s="394"/>
      <c r="L157" s="394"/>
      <c r="M157" s="394"/>
      <c r="N157" s="394"/>
      <c r="O157" s="394"/>
      <c r="P157" s="394"/>
      <c r="Q157" s="394"/>
      <c r="R157" s="394"/>
      <c r="S157" s="394"/>
      <c r="T157" s="394"/>
      <c r="U157" s="394"/>
      <c r="V157" s="394"/>
      <c r="W157" s="394"/>
      <c r="X157" s="394"/>
      <c r="Y157" s="394"/>
      <c r="Z157" s="394"/>
      <c r="AA157" s="394"/>
      <c r="AB157" s="394"/>
      <c r="AC157" s="394"/>
      <c r="AD157" s="394"/>
      <c r="AE157" s="394"/>
      <c r="AF157" s="395"/>
      <c r="AG157" s="396"/>
      <c r="AH157" s="396"/>
      <c r="AI157" s="395"/>
      <c r="AJ157" s="397"/>
      <c r="AK157" s="397"/>
      <c r="AL157" s="395"/>
      <c r="AM157" s="397"/>
      <c r="AN157" s="397"/>
      <c r="AO157" s="395"/>
      <c r="AP157" s="396"/>
      <c r="AQ157" s="396"/>
      <c r="AR157" s="454"/>
      <c r="AS157" s="255"/>
      <c r="BT157" s="121"/>
    </row>
    <row r="158" spans="1:72" ht="15.75" thickBot="1" x14ac:dyDescent="0.3">
      <c r="A158" s="255"/>
      <c r="B158" s="255"/>
      <c r="C158" s="255"/>
      <c r="D158" s="255"/>
      <c r="E158" s="255"/>
      <c r="F158" s="255"/>
      <c r="G158" s="255"/>
      <c r="H158" s="255"/>
      <c r="I158" s="255"/>
      <c r="J158" s="255"/>
      <c r="K158" s="255"/>
      <c r="L158" s="255"/>
      <c r="M158" s="255"/>
      <c r="N158" s="255"/>
      <c r="O158" s="255"/>
      <c r="P158" s="255"/>
      <c r="Q158" s="255"/>
      <c r="R158" s="255"/>
      <c r="S158" s="255"/>
      <c r="T158" s="255"/>
      <c r="U158" s="255"/>
      <c r="V158" s="255"/>
      <c r="W158" s="255"/>
      <c r="X158" s="255"/>
      <c r="Y158" s="255"/>
      <c r="Z158" s="255"/>
      <c r="AA158" s="255"/>
      <c r="AB158" s="255"/>
      <c r="AC158" s="255"/>
      <c r="AD158" s="255"/>
      <c r="AE158" s="255"/>
      <c r="AF158" s="255"/>
      <c r="AG158" s="255"/>
      <c r="AH158" s="255"/>
      <c r="AI158" s="255"/>
      <c r="AJ158" s="255"/>
      <c r="AK158" s="255"/>
      <c r="AL158" s="255"/>
      <c r="AM158" s="255"/>
      <c r="AN158" s="255"/>
      <c r="AO158" s="255"/>
      <c r="AP158" s="255"/>
      <c r="AQ158" s="255"/>
      <c r="AR158" s="255"/>
      <c r="AS158" s="255"/>
    </row>
    <row r="159" spans="1:72" ht="16.5" x14ac:dyDescent="0.25">
      <c r="A159" s="255"/>
      <c r="B159" s="398"/>
      <c r="C159" s="399"/>
      <c r="D159" s="399"/>
      <c r="E159" s="399"/>
      <c r="F159" s="399"/>
      <c r="G159" s="399"/>
      <c r="H159" s="399"/>
      <c r="I159" s="399"/>
      <c r="J159" s="399"/>
      <c r="K159" s="399"/>
      <c r="L159" s="399"/>
      <c r="M159" s="399"/>
      <c r="N159" s="399"/>
      <c r="O159" s="399"/>
      <c r="P159" s="399"/>
      <c r="Q159" s="399"/>
      <c r="R159" s="399"/>
      <c r="S159" s="399"/>
      <c r="T159" s="399"/>
      <c r="U159" s="399"/>
      <c r="V159" s="399"/>
      <c r="W159" s="399"/>
      <c r="X159" s="399"/>
      <c r="Y159" s="399"/>
      <c r="Z159" s="399"/>
      <c r="AA159" s="399"/>
      <c r="AB159" s="399"/>
      <c r="AC159" s="399"/>
      <c r="AD159" s="399"/>
      <c r="AE159" s="399"/>
      <c r="AF159" s="399"/>
      <c r="AG159" s="399"/>
      <c r="AH159" s="399"/>
      <c r="AI159" s="399"/>
      <c r="AJ159" s="399"/>
      <c r="AK159" s="399"/>
      <c r="AL159" s="400"/>
      <c r="AM159" s="255"/>
      <c r="AN159" s="255"/>
      <c r="AO159" s="255"/>
      <c r="AP159" s="255"/>
      <c r="AQ159" s="255"/>
      <c r="AR159" s="255"/>
      <c r="AS159" s="255"/>
    </row>
    <row r="160" spans="1:72" ht="16.5" x14ac:dyDescent="0.25">
      <c r="A160" s="255"/>
      <c r="B160" s="401"/>
      <c r="C160" s="402"/>
      <c r="D160" s="403" t="s">
        <v>542</v>
      </c>
      <c r="E160" s="402"/>
      <c r="F160" s="402"/>
      <c r="G160" s="403"/>
      <c r="H160" s="402"/>
      <c r="I160" s="402"/>
      <c r="J160" s="402"/>
      <c r="K160" s="402"/>
      <c r="L160" s="402"/>
      <c r="M160" s="402"/>
      <c r="N160" s="402"/>
      <c r="O160" s="402"/>
      <c r="P160" s="402"/>
      <c r="Q160" s="402"/>
      <c r="R160" s="402"/>
      <c r="S160" s="402"/>
      <c r="T160" s="402"/>
      <c r="U160" s="402"/>
      <c r="V160" s="402"/>
      <c r="W160" s="402"/>
      <c r="X160" s="402"/>
      <c r="Y160" s="402"/>
      <c r="Z160" s="402"/>
      <c r="AA160" s="402"/>
      <c r="AB160" s="402"/>
      <c r="AC160" s="402"/>
      <c r="AD160" s="402"/>
      <c r="AE160" s="402"/>
      <c r="AF160" s="402"/>
      <c r="AG160" s="402"/>
      <c r="AH160" s="402"/>
      <c r="AI160" s="402"/>
      <c r="AJ160" s="402"/>
      <c r="AK160" s="402"/>
      <c r="AL160" s="404"/>
      <c r="AM160" s="255"/>
      <c r="AN160" s="255"/>
      <c r="AO160" s="255"/>
      <c r="AP160" s="255"/>
      <c r="AQ160" s="255"/>
      <c r="AR160" s="255"/>
      <c r="AS160" s="255"/>
    </row>
    <row r="161" spans="1:45" ht="16.5" x14ac:dyDescent="0.25">
      <c r="A161" s="255"/>
      <c r="B161" s="405"/>
      <c r="C161" s="406"/>
      <c r="D161" s="406"/>
      <c r="E161" s="406"/>
      <c r="F161" s="406"/>
      <c r="G161" s="407"/>
      <c r="H161" s="406"/>
      <c r="I161" s="406"/>
      <c r="J161" s="406"/>
      <c r="K161" s="406"/>
      <c r="L161" s="406"/>
      <c r="M161" s="406"/>
      <c r="N161" s="406"/>
      <c r="O161" s="406"/>
      <c r="P161" s="406"/>
      <c r="Q161" s="406"/>
      <c r="R161" s="406"/>
      <c r="S161" s="406"/>
      <c r="T161" s="406"/>
      <c r="U161" s="406"/>
      <c r="V161" s="406"/>
      <c r="W161" s="406"/>
      <c r="X161" s="406"/>
      <c r="Y161" s="406"/>
      <c r="Z161" s="406"/>
      <c r="AA161" s="406"/>
      <c r="AB161" s="406"/>
      <c r="AC161" s="406"/>
      <c r="AD161" s="406"/>
      <c r="AE161" s="406"/>
      <c r="AF161" s="406"/>
      <c r="AG161" s="406"/>
      <c r="AH161" s="406"/>
      <c r="AI161" s="406"/>
      <c r="AJ161" s="406"/>
      <c r="AK161" s="406"/>
      <c r="AL161" s="408"/>
      <c r="AM161" s="255"/>
      <c r="AN161" s="255"/>
      <c r="AO161" s="255"/>
      <c r="AP161" s="255"/>
      <c r="AQ161" s="255"/>
      <c r="AR161" s="255"/>
      <c r="AS161" s="255"/>
    </row>
    <row r="162" spans="1:45" ht="16.5" x14ac:dyDescent="0.25">
      <c r="A162" s="255"/>
      <c r="B162" s="405"/>
      <c r="C162" s="406"/>
      <c r="D162" s="725" t="s">
        <v>543</v>
      </c>
      <c r="E162" s="725"/>
      <c r="F162" s="725"/>
      <c r="G162" s="725"/>
      <c r="H162" s="725"/>
      <c r="I162" s="725"/>
      <c r="J162" s="725"/>
      <c r="K162" s="725"/>
      <c r="L162" s="725"/>
      <c r="M162" s="725"/>
      <c r="N162" s="725"/>
      <c r="O162" s="725"/>
      <c r="P162" s="725"/>
      <c r="Q162" s="725"/>
      <c r="R162" s="725"/>
      <c r="S162" s="725"/>
      <c r="T162" s="725"/>
      <c r="U162" s="725"/>
      <c r="V162" s="725"/>
      <c r="W162" s="725"/>
      <c r="X162" s="725"/>
      <c r="Y162" s="725"/>
      <c r="Z162" s="725"/>
      <c r="AA162" s="725"/>
      <c r="AB162" s="725"/>
      <c r="AC162" s="725"/>
      <c r="AD162" s="725"/>
      <c r="AE162" s="725"/>
      <c r="AF162" s="725"/>
      <c r="AG162" s="725"/>
      <c r="AH162" s="725"/>
      <c r="AI162" s="725"/>
      <c r="AJ162" s="725"/>
      <c r="AK162" s="406"/>
      <c r="AL162" s="408"/>
      <c r="AM162" s="255"/>
      <c r="AN162" s="255"/>
      <c r="AO162" s="255"/>
      <c r="AP162" s="255"/>
      <c r="AQ162" s="255"/>
      <c r="AR162" s="255"/>
      <c r="AS162" s="255"/>
    </row>
    <row r="163" spans="1:45" ht="16.5" x14ac:dyDescent="0.25">
      <c r="A163" s="255"/>
      <c r="B163" s="405"/>
      <c r="C163" s="406"/>
      <c r="D163" s="725"/>
      <c r="E163" s="725"/>
      <c r="F163" s="725"/>
      <c r="G163" s="725"/>
      <c r="H163" s="725"/>
      <c r="I163" s="725"/>
      <c r="J163" s="725"/>
      <c r="K163" s="725"/>
      <c r="L163" s="725"/>
      <c r="M163" s="725"/>
      <c r="N163" s="725"/>
      <c r="O163" s="725"/>
      <c r="P163" s="725"/>
      <c r="Q163" s="725"/>
      <c r="R163" s="725"/>
      <c r="S163" s="725"/>
      <c r="T163" s="725"/>
      <c r="U163" s="725"/>
      <c r="V163" s="725"/>
      <c r="W163" s="725"/>
      <c r="X163" s="725"/>
      <c r="Y163" s="725"/>
      <c r="Z163" s="725"/>
      <c r="AA163" s="725"/>
      <c r="AB163" s="725"/>
      <c r="AC163" s="725"/>
      <c r="AD163" s="725"/>
      <c r="AE163" s="725"/>
      <c r="AF163" s="725"/>
      <c r="AG163" s="725"/>
      <c r="AH163" s="725"/>
      <c r="AI163" s="725"/>
      <c r="AJ163" s="725"/>
      <c r="AK163" s="406"/>
      <c r="AL163" s="408"/>
      <c r="AM163" s="255"/>
      <c r="AN163" s="255"/>
      <c r="AO163" s="255"/>
      <c r="AP163" s="255"/>
      <c r="AQ163" s="255"/>
      <c r="AR163" s="255"/>
      <c r="AS163" s="255"/>
    </row>
    <row r="164" spans="1:45" ht="16.5" x14ac:dyDescent="0.25">
      <c r="A164" s="255"/>
      <c r="B164" s="405"/>
      <c r="C164" s="406"/>
      <c r="D164" s="406"/>
      <c r="E164" s="406"/>
      <c r="F164" s="406"/>
      <c r="G164" s="407"/>
      <c r="H164" s="406"/>
      <c r="I164" s="406"/>
      <c r="J164" s="406"/>
      <c r="K164" s="406"/>
      <c r="L164" s="406"/>
      <c r="M164" s="406"/>
      <c r="N164" s="406"/>
      <c r="O164" s="406"/>
      <c r="P164" s="406"/>
      <c r="Q164" s="406"/>
      <c r="R164" s="406"/>
      <c r="S164" s="406"/>
      <c r="T164" s="406"/>
      <c r="U164" s="406"/>
      <c r="V164" s="406"/>
      <c r="W164" s="406"/>
      <c r="X164" s="406"/>
      <c r="Y164" s="406"/>
      <c r="Z164" s="406"/>
      <c r="AA164" s="406"/>
      <c r="AB164" s="406"/>
      <c r="AC164" s="406"/>
      <c r="AD164" s="406"/>
      <c r="AE164" s="406"/>
      <c r="AF164" s="406"/>
      <c r="AG164" s="406"/>
      <c r="AH164" s="406"/>
      <c r="AI164" s="406"/>
      <c r="AJ164" s="406"/>
      <c r="AK164" s="406"/>
      <c r="AL164" s="408"/>
      <c r="AM164" s="255"/>
      <c r="AN164" s="255"/>
      <c r="AO164" s="255"/>
      <c r="AP164" s="255"/>
      <c r="AQ164" s="255"/>
      <c r="AR164" s="255"/>
      <c r="AS164" s="255"/>
    </row>
    <row r="165" spans="1:45" ht="16.5" x14ac:dyDescent="0.25">
      <c r="A165" s="255"/>
      <c r="B165" s="405"/>
      <c r="C165" s="406"/>
      <c r="D165" s="406"/>
      <c r="E165" s="406"/>
      <c r="F165" s="409" t="s">
        <v>544</v>
      </c>
      <c r="G165" s="410"/>
      <c r="H165" s="410"/>
      <c r="I165" s="410"/>
      <c r="J165" s="410"/>
      <c r="K165" s="410"/>
      <c r="L165" s="410"/>
      <c r="M165" s="410"/>
      <c r="N165" s="376"/>
      <c r="O165" s="376"/>
      <c r="P165" s="409" t="s">
        <v>545</v>
      </c>
      <c r="Q165" s="409"/>
      <c r="R165" s="411"/>
      <c r="S165" s="411"/>
      <c r="T165" s="411" t="s">
        <v>546</v>
      </c>
      <c r="U165" s="409"/>
      <c r="V165" s="409"/>
      <c r="W165" s="409"/>
      <c r="X165" s="409" t="s">
        <v>547</v>
      </c>
      <c r="Y165" s="412"/>
      <c r="Z165" s="413"/>
      <c r="AA165" s="413"/>
      <c r="AB165" s="413" t="s">
        <v>548</v>
      </c>
      <c r="AC165" s="413"/>
      <c r="AD165" s="406"/>
      <c r="AE165" s="406"/>
      <c r="AF165" s="406"/>
      <c r="AG165" s="406"/>
      <c r="AH165" s="406"/>
      <c r="AI165" s="406"/>
      <c r="AJ165" s="406"/>
      <c r="AK165" s="406"/>
      <c r="AL165" s="408"/>
      <c r="AM165" s="255"/>
      <c r="AN165" s="255"/>
      <c r="AO165" s="255"/>
      <c r="AP165" s="255"/>
      <c r="AQ165" s="255"/>
      <c r="AR165" s="255"/>
      <c r="AS165" s="255"/>
    </row>
    <row r="166" spans="1:45" ht="16.5" x14ac:dyDescent="0.3">
      <c r="A166" s="255"/>
      <c r="B166" s="405"/>
      <c r="C166" s="406"/>
      <c r="D166" s="406"/>
      <c r="E166" s="406"/>
      <c r="F166" s="410" t="s">
        <v>549</v>
      </c>
      <c r="G166" s="414"/>
      <c r="H166" s="415"/>
      <c r="I166" s="416"/>
      <c r="J166" s="417"/>
      <c r="K166" s="417"/>
      <c r="L166" s="417"/>
      <c r="M166" s="414"/>
      <c r="N166" s="418">
        <v>5019</v>
      </c>
      <c r="O166" s="419"/>
      <c r="P166" s="420">
        <v>0</v>
      </c>
      <c r="Q166" s="419"/>
      <c r="R166" s="421"/>
      <c r="S166" s="418"/>
      <c r="T166" s="420">
        <v>0</v>
      </c>
      <c r="U166" s="419"/>
      <c r="V166" s="421"/>
      <c r="W166" s="418"/>
      <c r="X166" s="420">
        <v>0</v>
      </c>
      <c r="Y166" s="419"/>
      <c r="Z166" s="421"/>
      <c r="AA166" s="418"/>
      <c r="AB166" s="420">
        <v>5</v>
      </c>
      <c r="AC166" s="419"/>
      <c r="AD166" s="406"/>
      <c r="AE166" s="406"/>
      <c r="AF166" s="406"/>
      <c r="AG166" s="406"/>
      <c r="AH166" s="406"/>
      <c r="AI166" s="406"/>
      <c r="AJ166" s="406"/>
      <c r="AK166" s="406"/>
      <c r="AL166" s="408"/>
      <c r="AM166" s="255"/>
      <c r="AN166" s="255"/>
      <c r="AO166" s="255"/>
      <c r="AP166" s="255"/>
      <c r="AQ166" s="255"/>
      <c r="AR166" s="255"/>
      <c r="AS166" s="255"/>
    </row>
    <row r="167" spans="1:45" ht="16.5" x14ac:dyDescent="0.3">
      <c r="A167" s="255"/>
      <c r="B167" s="405"/>
      <c r="C167" s="406"/>
      <c r="D167" s="406"/>
      <c r="E167" s="406"/>
      <c r="F167" s="410"/>
      <c r="G167" s="410"/>
      <c r="H167" s="419"/>
      <c r="I167" s="416"/>
      <c r="J167" s="410"/>
      <c r="K167" s="410"/>
      <c r="L167" s="410"/>
      <c r="M167" s="409"/>
      <c r="N167" s="422"/>
      <c r="O167" s="419"/>
      <c r="P167" s="423"/>
      <c r="Q167" s="417"/>
      <c r="R167" s="424"/>
      <c r="S167" s="422"/>
      <c r="T167" s="423"/>
      <c r="U167" s="419"/>
      <c r="V167" s="424"/>
      <c r="W167" s="422"/>
      <c r="X167" s="423"/>
      <c r="Y167" s="419"/>
      <c r="Z167" s="424"/>
      <c r="AA167" s="422"/>
      <c r="AB167" s="423"/>
      <c r="AC167" s="419"/>
      <c r="AD167" s="406"/>
      <c r="AE167" s="406"/>
      <c r="AF167" s="406"/>
      <c r="AG167" s="406"/>
      <c r="AH167" s="406"/>
      <c r="AI167" s="406"/>
      <c r="AJ167" s="406"/>
      <c r="AK167" s="406"/>
      <c r="AL167" s="408"/>
      <c r="AM167" s="255"/>
      <c r="AN167" s="255"/>
      <c r="AO167" s="255"/>
      <c r="AP167" s="255"/>
      <c r="AQ167" s="255"/>
      <c r="AR167" s="255"/>
      <c r="AS167" s="255"/>
    </row>
    <row r="168" spans="1:45" ht="16.5" x14ac:dyDescent="0.3">
      <c r="A168" s="255"/>
      <c r="B168" s="405"/>
      <c r="C168" s="406"/>
      <c r="D168" s="406"/>
      <c r="E168" s="406"/>
      <c r="F168" s="410" t="s">
        <v>550</v>
      </c>
      <c r="G168" s="410"/>
      <c r="H168" s="419"/>
      <c r="I168" s="416"/>
      <c r="J168" s="410"/>
      <c r="K168" s="410"/>
      <c r="L168" s="410"/>
      <c r="M168" s="409"/>
      <c r="N168" s="425">
        <v>5020</v>
      </c>
      <c r="O168" s="419"/>
      <c r="P168" s="420">
        <v>0</v>
      </c>
      <c r="Q168" s="410"/>
      <c r="R168" s="426"/>
      <c r="S168" s="425"/>
      <c r="T168" s="420">
        <v>0</v>
      </c>
      <c r="U168" s="410"/>
      <c r="V168" s="426"/>
      <c r="W168" s="425"/>
      <c r="X168" s="420">
        <v>0</v>
      </c>
      <c r="Y168" s="426"/>
      <c r="Z168" s="426"/>
      <c r="AA168" s="425"/>
      <c r="AB168" s="420">
        <v>5</v>
      </c>
      <c r="AC168" s="419"/>
      <c r="AD168" s="406"/>
      <c r="AE168" s="406"/>
      <c r="AF168" s="406"/>
      <c r="AG168" s="406"/>
      <c r="AH168" s="406"/>
      <c r="AI168" s="406"/>
      <c r="AJ168" s="406"/>
      <c r="AK168" s="406"/>
      <c r="AL168" s="408"/>
      <c r="AM168" s="255"/>
      <c r="AN168" s="255"/>
      <c r="AO168" s="255"/>
      <c r="AP168" s="255"/>
      <c r="AQ168" s="255"/>
      <c r="AR168" s="255"/>
      <c r="AS168" s="255"/>
    </row>
    <row r="169" spans="1:45" ht="16.5" x14ac:dyDescent="0.3">
      <c r="A169" s="255"/>
      <c r="B169" s="405"/>
      <c r="C169" s="406"/>
      <c r="D169" s="406"/>
      <c r="E169" s="406"/>
      <c r="F169" s="427"/>
      <c r="G169" s="427"/>
      <c r="H169" s="419"/>
      <c r="I169" s="416"/>
      <c r="J169" s="427"/>
      <c r="K169" s="427"/>
      <c r="L169" s="427"/>
      <c r="M169" s="427"/>
      <c r="N169" s="425"/>
      <c r="O169" s="419"/>
      <c r="P169" s="428"/>
      <c r="Q169" s="410"/>
      <c r="R169" s="426"/>
      <c r="S169" s="425"/>
      <c r="T169" s="428"/>
      <c r="U169" s="410"/>
      <c r="V169" s="426"/>
      <c r="W169" s="425"/>
      <c r="X169" s="428"/>
      <c r="Y169" s="410"/>
      <c r="Z169" s="426"/>
      <c r="AA169" s="425"/>
      <c r="AB169" s="428"/>
      <c r="AC169" s="429"/>
      <c r="AD169" s="406"/>
      <c r="AE169" s="406"/>
      <c r="AF169" s="406"/>
      <c r="AG169" s="406"/>
      <c r="AH169" s="406"/>
      <c r="AI169" s="406"/>
      <c r="AJ169" s="406"/>
      <c r="AK169" s="406"/>
      <c r="AL169" s="408"/>
      <c r="AM169" s="255"/>
      <c r="AN169" s="255"/>
      <c r="AO169" s="255"/>
      <c r="AP169" s="255"/>
      <c r="AQ169" s="255"/>
      <c r="AR169" s="255"/>
      <c r="AS169" s="255"/>
    </row>
    <row r="170" spans="1:45" ht="16.5" x14ac:dyDescent="0.3">
      <c r="A170" s="255"/>
      <c r="B170" s="405"/>
      <c r="C170" s="406"/>
      <c r="D170" s="406"/>
      <c r="E170" s="406"/>
      <c r="F170" s="430" t="s">
        <v>551</v>
      </c>
      <c r="G170" s="427"/>
      <c r="H170" s="419"/>
      <c r="I170" s="416"/>
      <c r="J170" s="427"/>
      <c r="K170" s="427"/>
      <c r="L170" s="427"/>
      <c r="M170" s="427"/>
      <c r="N170" s="425">
        <v>5021</v>
      </c>
      <c r="O170" s="419"/>
      <c r="P170" s="420">
        <v>0</v>
      </c>
      <c r="Q170" s="410"/>
      <c r="R170" s="426"/>
      <c r="S170" s="425"/>
      <c r="T170" s="420">
        <v>0</v>
      </c>
      <c r="U170" s="410"/>
      <c r="V170" s="426"/>
      <c r="W170" s="425"/>
      <c r="X170" s="420">
        <v>0</v>
      </c>
      <c r="Y170" s="426"/>
      <c r="Z170" s="426"/>
      <c r="AA170" s="425"/>
      <c r="AB170" s="420">
        <v>5</v>
      </c>
      <c r="AC170" s="429"/>
      <c r="AD170" s="406"/>
      <c r="AE170" s="406"/>
      <c r="AF170" s="406"/>
      <c r="AG170" s="406"/>
      <c r="AH170" s="406"/>
      <c r="AI170" s="406"/>
      <c r="AJ170" s="406"/>
      <c r="AK170" s="406"/>
      <c r="AL170" s="408"/>
      <c r="AM170" s="255"/>
      <c r="AN170" s="255"/>
      <c r="AO170" s="255"/>
      <c r="AP170" s="255"/>
      <c r="AQ170" s="255"/>
      <c r="AR170" s="255"/>
      <c r="AS170" s="255"/>
    </row>
    <row r="171" spans="1:45" ht="16.5" x14ac:dyDescent="0.3">
      <c r="A171" s="255"/>
      <c r="B171" s="405"/>
      <c r="C171" s="406"/>
      <c r="D171" s="406"/>
      <c r="E171" s="406"/>
      <c r="F171" s="427"/>
      <c r="G171" s="427"/>
      <c r="H171" s="419"/>
      <c r="I171" s="416"/>
      <c r="J171" s="427"/>
      <c r="K171" s="427"/>
      <c r="L171" s="427"/>
      <c r="M171" s="427"/>
      <c r="N171" s="425"/>
      <c r="O171" s="419"/>
      <c r="P171" s="428"/>
      <c r="Q171" s="410"/>
      <c r="R171" s="426"/>
      <c r="S171" s="425"/>
      <c r="T171" s="428"/>
      <c r="U171" s="410"/>
      <c r="V171" s="426"/>
      <c r="W171" s="425"/>
      <c r="X171" s="428"/>
      <c r="Y171" s="410"/>
      <c r="Z171" s="426"/>
      <c r="AA171" s="425"/>
      <c r="AB171" s="428"/>
      <c r="AC171" s="429"/>
      <c r="AD171" s="406"/>
      <c r="AE171" s="406"/>
      <c r="AF171" s="406"/>
      <c r="AG171" s="406"/>
      <c r="AH171" s="406"/>
      <c r="AI171" s="406"/>
      <c r="AJ171" s="406"/>
      <c r="AK171" s="406"/>
      <c r="AL171" s="408"/>
      <c r="AM171" s="255"/>
      <c r="AN171" s="255"/>
      <c r="AO171" s="255"/>
      <c r="AP171" s="255"/>
      <c r="AQ171" s="255"/>
      <c r="AR171" s="255"/>
      <c r="AS171" s="255"/>
    </row>
    <row r="172" spans="1:45" ht="16.5" x14ac:dyDescent="0.3">
      <c r="A172" s="255"/>
      <c r="B172" s="405"/>
      <c r="C172" s="406"/>
      <c r="D172" s="406"/>
      <c r="E172" s="406"/>
      <c r="F172" s="430" t="s">
        <v>552</v>
      </c>
      <c r="G172" s="427"/>
      <c r="H172" s="419"/>
      <c r="I172" s="416"/>
      <c r="J172" s="427"/>
      <c r="K172" s="427"/>
      <c r="L172" s="427"/>
      <c r="M172" s="427"/>
      <c r="N172" s="425">
        <v>5022</v>
      </c>
      <c r="O172" s="419"/>
      <c r="P172" s="420">
        <v>0</v>
      </c>
      <c r="Q172" s="410"/>
      <c r="R172" s="426"/>
      <c r="S172" s="425"/>
      <c r="T172" s="420">
        <v>0</v>
      </c>
      <c r="U172" s="410"/>
      <c r="V172" s="426"/>
      <c r="W172" s="425"/>
      <c r="X172" s="420">
        <v>0</v>
      </c>
      <c r="Y172" s="410"/>
      <c r="Z172" s="426"/>
      <c r="AA172" s="425"/>
      <c r="AB172" s="420">
        <v>5</v>
      </c>
      <c r="AC172" s="429"/>
      <c r="AD172" s="406"/>
      <c r="AE172" s="406"/>
      <c r="AF172" s="406"/>
      <c r="AG172" s="406"/>
      <c r="AH172" s="406"/>
      <c r="AI172" s="406"/>
      <c r="AJ172" s="406"/>
      <c r="AK172" s="406"/>
      <c r="AL172" s="408"/>
      <c r="AM172" s="255"/>
      <c r="AN172" s="255"/>
      <c r="AO172" s="255"/>
      <c r="AP172" s="255"/>
      <c r="AQ172" s="255"/>
      <c r="AR172" s="255"/>
      <c r="AS172" s="255"/>
    </row>
    <row r="173" spans="1:45" ht="16.5" x14ac:dyDescent="0.3">
      <c r="A173" s="255"/>
      <c r="B173" s="405"/>
      <c r="C173" s="406"/>
      <c r="D173" s="406"/>
      <c r="E173" s="406"/>
      <c r="F173" s="428"/>
      <c r="G173" s="428"/>
      <c r="H173" s="419"/>
      <c r="I173" s="416"/>
      <c r="J173" s="428"/>
      <c r="K173" s="428"/>
      <c r="L173" s="428"/>
      <c r="M173" s="428"/>
      <c r="N173" s="425"/>
      <c r="O173" s="419"/>
      <c r="P173" s="428"/>
      <c r="Q173" s="410"/>
      <c r="R173" s="426"/>
      <c r="S173" s="425"/>
      <c r="T173" s="428"/>
      <c r="U173" s="410"/>
      <c r="V173" s="426"/>
      <c r="W173" s="425"/>
      <c r="X173" s="428"/>
      <c r="Y173" s="410"/>
      <c r="Z173" s="426"/>
      <c r="AA173" s="425"/>
      <c r="AB173" s="428"/>
      <c r="AC173" s="429"/>
      <c r="AD173" s="406"/>
      <c r="AE173" s="406"/>
      <c r="AF173" s="406"/>
      <c r="AG173" s="406"/>
      <c r="AH173" s="406"/>
      <c r="AI173" s="406"/>
      <c r="AJ173" s="406"/>
      <c r="AK173" s="406"/>
      <c r="AL173" s="408"/>
      <c r="AM173" s="255"/>
      <c r="AN173" s="255"/>
      <c r="AO173" s="255"/>
      <c r="AP173" s="255"/>
      <c r="AQ173" s="255"/>
      <c r="AR173" s="255"/>
      <c r="AS173" s="255"/>
    </row>
    <row r="174" spans="1:45" ht="16.5" x14ac:dyDescent="0.3">
      <c r="A174" s="255"/>
      <c r="B174" s="405"/>
      <c r="C174" s="406"/>
      <c r="D174" s="406"/>
      <c r="E174" s="406"/>
      <c r="F174" s="406" t="s">
        <v>553</v>
      </c>
      <c r="G174" s="428"/>
      <c r="H174" s="419"/>
      <c r="I174" s="416"/>
      <c r="J174" s="428"/>
      <c r="K174" s="428"/>
      <c r="L174" s="428"/>
      <c r="M174" s="428"/>
      <c r="N174" s="425">
        <v>5023</v>
      </c>
      <c r="O174" s="419"/>
      <c r="P174" s="420">
        <v>0</v>
      </c>
      <c r="Q174" s="410"/>
      <c r="R174" s="426"/>
      <c r="S174" s="425"/>
      <c r="T174" s="420">
        <v>0</v>
      </c>
      <c r="U174" s="410"/>
      <c r="V174" s="426"/>
      <c r="W174" s="425"/>
      <c r="X174" s="420">
        <v>0</v>
      </c>
      <c r="Y174" s="410"/>
      <c r="Z174" s="426"/>
      <c r="AA174" s="425"/>
      <c r="AB174" s="420">
        <v>5</v>
      </c>
      <c r="AC174" s="429"/>
      <c r="AD174" s="406"/>
      <c r="AE174" s="406"/>
      <c r="AF174" s="406"/>
      <c r="AG174" s="406"/>
      <c r="AH174" s="406"/>
      <c r="AI174" s="406"/>
      <c r="AJ174" s="406"/>
      <c r="AK174" s="406"/>
      <c r="AL174" s="408"/>
      <c r="AM174" s="255"/>
      <c r="AN174" s="255"/>
      <c r="AO174" s="255"/>
      <c r="AP174" s="255"/>
      <c r="AQ174" s="255"/>
      <c r="AR174" s="255"/>
      <c r="AS174" s="255"/>
    </row>
    <row r="175" spans="1:45" ht="16.5" x14ac:dyDescent="0.3">
      <c r="A175" s="255"/>
      <c r="B175" s="405"/>
      <c r="C175" s="406"/>
      <c r="D175" s="406"/>
      <c r="E175" s="406"/>
      <c r="F175" s="406"/>
      <c r="G175" s="428"/>
      <c r="H175" s="419"/>
      <c r="I175" s="416"/>
      <c r="J175" s="428"/>
      <c r="K175" s="428"/>
      <c r="L175" s="428"/>
      <c r="M175" s="428"/>
      <c r="N175" s="425"/>
      <c r="O175" s="419"/>
      <c r="P175" s="428"/>
      <c r="Q175" s="410"/>
      <c r="R175" s="426"/>
      <c r="S175" s="425"/>
      <c r="T175" s="428"/>
      <c r="U175" s="410"/>
      <c r="V175" s="426"/>
      <c r="W175" s="425"/>
      <c r="X175" s="428"/>
      <c r="Y175" s="410"/>
      <c r="Z175" s="426"/>
      <c r="AA175" s="425"/>
      <c r="AB175" s="428"/>
      <c r="AC175" s="429"/>
      <c r="AD175" s="406"/>
      <c r="AE175" s="406"/>
      <c r="AF175" s="406"/>
      <c r="AG175" s="406"/>
      <c r="AH175" s="406"/>
      <c r="AI175" s="406"/>
      <c r="AJ175" s="406"/>
      <c r="AK175" s="406"/>
      <c r="AL175" s="408"/>
      <c r="AM175" s="255"/>
      <c r="AN175" s="255"/>
      <c r="AO175" s="255"/>
      <c r="AP175" s="255"/>
      <c r="AQ175" s="255"/>
      <c r="AR175" s="255"/>
      <c r="AS175" s="255"/>
    </row>
    <row r="176" spans="1:45" ht="16.5" x14ac:dyDescent="0.3">
      <c r="A176" s="255"/>
      <c r="B176" s="405"/>
      <c r="C176" s="406"/>
      <c r="D176" s="406"/>
      <c r="E176" s="406"/>
      <c r="F176" s="406" t="s">
        <v>554</v>
      </c>
      <c r="G176" s="428"/>
      <c r="H176" s="419"/>
      <c r="I176" s="416"/>
      <c r="J176" s="428"/>
      <c r="K176" s="428"/>
      <c r="L176" s="428"/>
      <c r="M176" s="428"/>
      <c r="N176" s="425">
        <v>5024</v>
      </c>
      <c r="O176" s="419"/>
      <c r="P176" s="420">
        <v>0</v>
      </c>
      <c r="Q176" s="410"/>
      <c r="R176" s="426"/>
      <c r="S176" s="425"/>
      <c r="T176" s="420">
        <v>0</v>
      </c>
      <c r="U176" s="410"/>
      <c r="V176" s="426"/>
      <c r="W176" s="425"/>
      <c r="X176" s="420">
        <v>0</v>
      </c>
      <c r="Y176" s="410"/>
      <c r="Z176" s="426"/>
      <c r="AA176" s="425"/>
      <c r="AB176" s="420">
        <v>5</v>
      </c>
      <c r="AC176" s="429"/>
      <c r="AD176" s="406"/>
      <c r="AE176" s="406"/>
      <c r="AF176" s="406"/>
      <c r="AG176" s="406"/>
      <c r="AH176" s="406"/>
      <c r="AI176" s="406"/>
      <c r="AJ176" s="406"/>
      <c r="AK176" s="406"/>
      <c r="AL176" s="408"/>
      <c r="AM176" s="255"/>
      <c r="AN176" s="255"/>
      <c r="AO176" s="255"/>
      <c r="AP176" s="255"/>
      <c r="AQ176" s="255"/>
      <c r="AR176" s="255"/>
      <c r="AS176" s="255"/>
    </row>
    <row r="177" spans="1:45" ht="16.5" x14ac:dyDescent="0.25">
      <c r="A177" s="255"/>
      <c r="B177" s="405"/>
      <c r="C177" s="406"/>
      <c r="D177" s="406"/>
      <c r="E177" s="406"/>
      <c r="F177" s="406"/>
      <c r="G177" s="407"/>
      <c r="H177" s="406"/>
      <c r="I177" s="406"/>
      <c r="J177" s="406"/>
      <c r="K177" s="406"/>
      <c r="L177" s="406"/>
      <c r="M177" s="406"/>
      <c r="N177" s="406"/>
      <c r="O177" s="406"/>
      <c r="P177" s="406"/>
      <c r="Q177" s="406"/>
      <c r="R177" s="406"/>
      <c r="S177" s="406"/>
      <c r="T177" s="406"/>
      <c r="U177" s="406"/>
      <c r="V177" s="406"/>
      <c r="W177" s="406"/>
      <c r="X177" s="406"/>
      <c r="Y177" s="406"/>
      <c r="Z177" s="406"/>
      <c r="AA177" s="406"/>
      <c r="AB177" s="406"/>
      <c r="AC177" s="406"/>
      <c r="AD177" s="406"/>
      <c r="AE177" s="406"/>
      <c r="AF177" s="406"/>
      <c r="AG177" s="406"/>
      <c r="AH177" s="406"/>
      <c r="AI177" s="406"/>
      <c r="AJ177" s="406"/>
      <c r="AK177" s="406"/>
      <c r="AL177" s="408"/>
      <c r="AM177" s="255"/>
      <c r="AN177" s="255"/>
      <c r="AO177" s="255"/>
      <c r="AP177" s="255"/>
      <c r="AQ177" s="255"/>
      <c r="AR177" s="255"/>
      <c r="AS177" s="255"/>
    </row>
    <row r="178" spans="1:45" ht="16.5" x14ac:dyDescent="0.3">
      <c r="A178" s="255"/>
      <c r="B178" s="405"/>
      <c r="C178" s="431"/>
      <c r="D178" s="432"/>
      <c r="E178" s="433"/>
      <c r="F178" s="433"/>
      <c r="G178" s="433"/>
      <c r="H178" s="433"/>
      <c r="I178" s="433"/>
      <c r="J178" s="433"/>
      <c r="K178" s="433"/>
      <c r="L178" s="433"/>
      <c r="M178" s="433"/>
      <c r="N178" s="433"/>
      <c r="O178" s="433"/>
      <c r="P178" s="433"/>
      <c r="Q178" s="433"/>
      <c r="R178" s="433"/>
      <c r="S178" s="433"/>
      <c r="T178" s="433"/>
      <c r="U178" s="433"/>
      <c r="V178" s="433"/>
      <c r="W178" s="433"/>
      <c r="X178" s="433"/>
      <c r="Y178" s="434"/>
      <c r="Z178" s="434"/>
      <c r="AA178" s="434"/>
      <c r="AB178" s="434"/>
      <c r="AC178" s="434"/>
      <c r="AD178" s="434"/>
      <c r="AE178" s="434"/>
      <c r="AF178" s="435"/>
      <c r="AG178" s="435"/>
      <c r="AH178" s="434"/>
      <c r="AI178" s="434"/>
      <c r="AJ178" s="436"/>
      <c r="AK178" s="406"/>
      <c r="AL178" s="408"/>
      <c r="AM178" s="255"/>
      <c r="AN178" s="255"/>
      <c r="AO178" s="255"/>
      <c r="AP178" s="255"/>
      <c r="AQ178" s="255"/>
      <c r="AR178" s="255"/>
      <c r="AS178" s="255"/>
    </row>
    <row r="179" spans="1:45" ht="16.5" x14ac:dyDescent="0.3">
      <c r="A179" s="255"/>
      <c r="B179" s="405"/>
      <c r="C179" s="437"/>
      <c r="D179" s="726" t="s">
        <v>555</v>
      </c>
      <c r="E179" s="726"/>
      <c r="F179" s="726"/>
      <c r="G179" s="726"/>
      <c r="H179" s="726"/>
      <c r="I179" s="726"/>
      <c r="J179" s="726"/>
      <c r="K179" s="726"/>
      <c r="L179" s="726"/>
      <c r="M179" s="726"/>
      <c r="N179" s="726"/>
      <c r="O179" s="726"/>
      <c r="P179" s="726"/>
      <c r="Q179" s="726"/>
      <c r="R179" s="726"/>
      <c r="S179" s="726"/>
      <c r="T179" s="726"/>
      <c r="U179" s="726"/>
      <c r="V179" s="726"/>
      <c r="W179" s="726"/>
      <c r="X179" s="438">
        <v>5016</v>
      </c>
      <c r="Y179" s="439" t="s">
        <v>556</v>
      </c>
      <c r="Z179" s="440">
        <v>0</v>
      </c>
      <c r="AA179" s="419"/>
      <c r="AB179" s="438">
        <v>5017</v>
      </c>
      <c r="AC179" s="407" t="s">
        <v>557</v>
      </c>
      <c r="AD179" s="420">
        <v>3</v>
      </c>
      <c r="AE179" s="419"/>
      <c r="AF179" s="441">
        <v>5018</v>
      </c>
      <c r="AG179" s="411" t="s">
        <v>558</v>
      </c>
      <c r="AH179" s="442">
        <v>2</v>
      </c>
      <c r="AI179" s="406"/>
      <c r="AJ179" s="443"/>
      <c r="AK179" s="406"/>
      <c r="AL179" s="408"/>
      <c r="AM179" s="255"/>
      <c r="AN179" s="255"/>
      <c r="AO179" s="255"/>
      <c r="AP179" s="255"/>
      <c r="AQ179" s="255"/>
      <c r="AR179" s="255"/>
      <c r="AS179" s="255"/>
    </row>
    <row r="180" spans="1:45" ht="16.5" x14ac:dyDescent="0.25">
      <c r="A180" s="255"/>
      <c r="B180" s="405"/>
      <c r="C180" s="444"/>
      <c r="D180" s="727"/>
      <c r="E180" s="727"/>
      <c r="F180" s="727"/>
      <c r="G180" s="727"/>
      <c r="H180" s="727"/>
      <c r="I180" s="727"/>
      <c r="J180" s="727"/>
      <c r="K180" s="727"/>
      <c r="L180" s="727"/>
      <c r="M180" s="727"/>
      <c r="N180" s="727"/>
      <c r="O180" s="727"/>
      <c r="P180" s="727"/>
      <c r="Q180" s="727"/>
      <c r="R180" s="727"/>
      <c r="S180" s="727"/>
      <c r="T180" s="727"/>
      <c r="U180" s="727"/>
      <c r="V180" s="727"/>
      <c r="W180" s="727"/>
      <c r="X180" s="445"/>
      <c r="Y180" s="446"/>
      <c r="Z180" s="446"/>
      <c r="AA180" s="446"/>
      <c r="AB180" s="446"/>
      <c r="AC180" s="446"/>
      <c r="AD180" s="446"/>
      <c r="AE180" s="446"/>
      <c r="AF180" s="446"/>
      <c r="AG180" s="446"/>
      <c r="AH180" s="446"/>
      <c r="AI180" s="446"/>
      <c r="AJ180" s="447"/>
      <c r="AK180" s="409"/>
      <c r="AL180" s="408"/>
      <c r="AM180" s="255"/>
      <c r="AN180" s="255"/>
      <c r="AO180" s="255"/>
      <c r="AP180" s="255"/>
      <c r="AQ180" s="255"/>
      <c r="AR180" s="255"/>
      <c r="AS180" s="255"/>
    </row>
    <row r="181" spans="1:45" ht="17.25" thickBot="1" x14ac:dyDescent="0.3">
      <c r="A181" s="255"/>
      <c r="B181" s="448"/>
      <c r="C181" s="449"/>
      <c r="D181" s="449"/>
      <c r="E181" s="449"/>
      <c r="F181" s="449"/>
      <c r="G181" s="449"/>
      <c r="H181" s="449"/>
      <c r="I181" s="449"/>
      <c r="J181" s="449"/>
      <c r="K181" s="449"/>
      <c r="L181" s="449"/>
      <c r="M181" s="449"/>
      <c r="N181" s="449"/>
      <c r="O181" s="449"/>
      <c r="P181" s="449"/>
      <c r="Q181" s="449"/>
      <c r="R181" s="449"/>
      <c r="S181" s="449"/>
      <c r="T181" s="449"/>
      <c r="U181" s="449"/>
      <c r="V181" s="449"/>
      <c r="W181" s="449"/>
      <c r="X181" s="449"/>
      <c r="Y181" s="449"/>
      <c r="Z181" s="449"/>
      <c r="AA181" s="449"/>
      <c r="AB181" s="449"/>
      <c r="AC181" s="449"/>
      <c r="AD181" s="449"/>
      <c r="AE181" s="449"/>
      <c r="AF181" s="449"/>
      <c r="AG181" s="449"/>
      <c r="AH181" s="450"/>
      <c r="AI181" s="450"/>
      <c r="AJ181" s="450"/>
      <c r="AK181" s="450"/>
      <c r="AL181" s="451"/>
      <c r="AM181" s="255"/>
      <c r="AN181" s="255"/>
      <c r="AO181" s="255"/>
      <c r="AP181" s="255"/>
      <c r="AQ181" s="255"/>
      <c r="AR181" s="255"/>
      <c r="AS181" s="255"/>
    </row>
    <row r="182" spans="1:45" x14ac:dyDescent="0.25">
      <c r="A182" s="255"/>
      <c r="B182" s="255"/>
      <c r="C182" s="255"/>
      <c r="D182" s="255"/>
      <c r="E182" s="255"/>
      <c r="F182" s="255"/>
      <c r="G182" s="255"/>
      <c r="H182" s="255"/>
      <c r="I182" s="255"/>
      <c r="J182" s="255"/>
      <c r="K182" s="255"/>
      <c r="L182" s="255"/>
      <c r="M182" s="255"/>
      <c r="N182" s="255"/>
      <c r="O182" s="255"/>
      <c r="P182" s="255"/>
      <c r="Q182" s="255"/>
      <c r="R182" s="255"/>
      <c r="S182" s="255"/>
      <c r="T182" s="255"/>
      <c r="U182" s="255"/>
      <c r="V182" s="255"/>
      <c r="W182" s="255"/>
      <c r="X182" s="255"/>
      <c r="Y182" s="255"/>
      <c r="Z182" s="255"/>
      <c r="AA182" s="255"/>
      <c r="AB182" s="255"/>
      <c r="AC182" s="255"/>
      <c r="AD182" s="255"/>
      <c r="AE182" s="255"/>
      <c r="AF182" s="255"/>
      <c r="AG182" s="255"/>
      <c r="AH182" s="255"/>
      <c r="AI182" s="255"/>
      <c r="AJ182" s="255"/>
      <c r="AK182" s="255"/>
      <c r="AL182" s="255"/>
      <c r="AM182" s="255"/>
      <c r="AN182" s="255"/>
      <c r="AO182" s="255"/>
      <c r="AP182" s="255"/>
      <c r="AQ182" s="255"/>
      <c r="AR182" s="255"/>
      <c r="AS182" s="255"/>
    </row>
    <row r="183" spans="1:45" x14ac:dyDescent="0.25">
      <c r="A183" s="255"/>
      <c r="B183" s="255"/>
      <c r="C183" s="255"/>
      <c r="D183" s="255"/>
      <c r="E183" s="255"/>
      <c r="F183" s="255"/>
      <c r="G183" s="255"/>
      <c r="H183" s="255"/>
      <c r="I183" s="255"/>
      <c r="J183" s="255"/>
      <c r="K183" s="255"/>
      <c r="L183" s="255"/>
      <c r="M183" s="255"/>
      <c r="N183" s="255"/>
      <c r="O183" s="255"/>
      <c r="P183" s="255"/>
      <c r="Q183" s="255"/>
      <c r="R183" s="255"/>
      <c r="S183" s="255"/>
      <c r="T183" s="255"/>
      <c r="U183" s="255"/>
      <c r="V183" s="255"/>
      <c r="W183" s="255"/>
      <c r="X183" s="255"/>
      <c r="Y183" s="255"/>
      <c r="Z183" s="255"/>
      <c r="AA183" s="255"/>
      <c r="AB183" s="255"/>
      <c r="AC183" s="255"/>
      <c r="AD183" s="255"/>
      <c r="AE183" s="255"/>
      <c r="AF183" s="255"/>
      <c r="AG183" s="255"/>
      <c r="AH183" s="255"/>
      <c r="AI183" s="255"/>
      <c r="AJ183" s="255"/>
      <c r="AK183" s="255"/>
      <c r="AL183" s="255"/>
      <c r="AM183" s="255"/>
      <c r="AN183" s="255"/>
      <c r="AO183" s="255"/>
      <c r="AP183" s="255"/>
      <c r="AQ183" s="255"/>
      <c r="AR183" s="255"/>
      <c r="AS183" s="255"/>
    </row>
    <row r="184" spans="1:45" x14ac:dyDescent="0.25">
      <c r="A184" s="255"/>
      <c r="B184" s="255"/>
      <c r="C184" s="255"/>
      <c r="D184" s="255"/>
      <c r="E184" s="255"/>
      <c r="F184" s="255"/>
      <c r="G184" s="255"/>
      <c r="H184" s="255"/>
      <c r="I184" s="255"/>
      <c r="J184" s="255"/>
      <c r="K184" s="255"/>
      <c r="L184" s="255"/>
      <c r="M184" s="255"/>
      <c r="N184" s="255"/>
      <c r="O184" s="255"/>
      <c r="P184" s="255"/>
      <c r="Q184" s="255"/>
      <c r="R184" s="255"/>
      <c r="S184" s="255"/>
      <c r="T184" s="255"/>
      <c r="U184" s="255"/>
      <c r="V184" s="255"/>
      <c r="W184" s="255"/>
      <c r="X184" s="255"/>
      <c r="Y184" s="255"/>
      <c r="Z184" s="255"/>
      <c r="AA184" s="255"/>
      <c r="AB184" s="255"/>
      <c r="AC184" s="255"/>
      <c r="AD184" s="255"/>
      <c r="AE184" s="255"/>
      <c r="AF184" s="255"/>
      <c r="AG184" s="255"/>
      <c r="AH184" s="255"/>
      <c r="AI184" s="255"/>
      <c r="AJ184" s="255"/>
      <c r="AK184" s="255"/>
      <c r="AL184" s="255"/>
      <c r="AM184" s="255"/>
      <c r="AN184" s="255"/>
      <c r="AO184" s="255"/>
      <c r="AP184" s="255"/>
      <c r="AQ184" s="255"/>
      <c r="AR184" s="255"/>
      <c r="AS184" s="255"/>
    </row>
  </sheetData>
  <sheetProtection password="C69F" sheet="1" objects="1" scenarios="1"/>
  <mergeCells count="215">
    <mergeCell ref="C142:AE142"/>
    <mergeCell ref="AG142:AH142"/>
    <mergeCell ref="AJ142:AK142"/>
    <mergeCell ref="AM142:AN142"/>
    <mergeCell ref="AP142:AQ142"/>
    <mergeCell ref="C151:AE151"/>
    <mergeCell ref="AG151:AH151"/>
    <mergeCell ref="AJ151:AK151"/>
    <mergeCell ref="AM151:AN151"/>
    <mergeCell ref="AP151:AQ151"/>
    <mergeCell ref="C143:AE143"/>
    <mergeCell ref="AG143:AH143"/>
    <mergeCell ref="AJ143:AK143"/>
    <mergeCell ref="AM143:AN143"/>
    <mergeCell ref="AP143:AQ143"/>
    <mergeCell ref="C147:AE150"/>
    <mergeCell ref="AF147:AQ147"/>
    <mergeCell ref="AF148:AQ148"/>
    <mergeCell ref="AF149:AK149"/>
    <mergeCell ref="AL149:AQ149"/>
    <mergeCell ref="AF150:AH150"/>
    <mergeCell ref="AI150:AK150"/>
    <mergeCell ref="AL150:AN150"/>
    <mergeCell ref="AO150:AQ150"/>
    <mergeCell ref="C140:AE140"/>
    <mergeCell ref="AG140:AH140"/>
    <mergeCell ref="AJ140:AK140"/>
    <mergeCell ref="AM140:AN140"/>
    <mergeCell ref="AP140:AQ140"/>
    <mergeCell ref="C141:AE141"/>
    <mergeCell ref="AG141:AH141"/>
    <mergeCell ref="AJ141:AK141"/>
    <mergeCell ref="AM141:AN141"/>
    <mergeCell ref="AP141:AQ141"/>
    <mergeCell ref="C134:AE137"/>
    <mergeCell ref="AF134:AQ134"/>
    <mergeCell ref="AF135:AQ135"/>
    <mergeCell ref="AF136:AK136"/>
    <mergeCell ref="AL136:AQ136"/>
    <mergeCell ref="AF137:AH137"/>
    <mergeCell ref="AI137:AK137"/>
    <mergeCell ref="AL137:AN137"/>
    <mergeCell ref="AO137:AQ137"/>
    <mergeCell ref="C127:AE127"/>
    <mergeCell ref="AG127:AH127"/>
    <mergeCell ref="AJ127:AK127"/>
    <mergeCell ref="AM127:AN127"/>
    <mergeCell ref="AP127:AQ127"/>
    <mergeCell ref="C128:AE128"/>
    <mergeCell ref="AG130:AH130"/>
    <mergeCell ref="AJ130:AK130"/>
    <mergeCell ref="AM130:AN130"/>
    <mergeCell ref="AP130:AQ130"/>
    <mergeCell ref="AG128:AH128"/>
    <mergeCell ref="AJ128:AK128"/>
    <mergeCell ref="AM128:AN128"/>
    <mergeCell ref="AP128:AQ128"/>
    <mergeCell ref="C129:AE129"/>
    <mergeCell ref="AG129:AH129"/>
    <mergeCell ref="AJ129:AK129"/>
    <mergeCell ref="AM129:AN129"/>
    <mergeCell ref="AP129:AQ129"/>
    <mergeCell ref="C123:AE126"/>
    <mergeCell ref="AF123:AQ123"/>
    <mergeCell ref="AF124:AQ124"/>
    <mergeCell ref="AF125:AK125"/>
    <mergeCell ref="AL125:AQ125"/>
    <mergeCell ref="AF126:AH126"/>
    <mergeCell ref="AI126:AK126"/>
    <mergeCell ref="AL126:AN126"/>
    <mergeCell ref="AO126:AQ126"/>
    <mergeCell ref="C118:AE118"/>
    <mergeCell ref="AG118:AH118"/>
    <mergeCell ref="AJ118:AK118"/>
    <mergeCell ref="AM118:AN118"/>
    <mergeCell ref="AP118:AQ118"/>
    <mergeCell ref="AG119:AH119"/>
    <mergeCell ref="AJ119:AK119"/>
    <mergeCell ref="AM119:AN119"/>
    <mergeCell ref="AP119:AQ119"/>
    <mergeCell ref="C116:AE116"/>
    <mergeCell ref="AG116:AH116"/>
    <mergeCell ref="AJ116:AK116"/>
    <mergeCell ref="AM116:AN116"/>
    <mergeCell ref="AP116:AQ116"/>
    <mergeCell ref="C117:AE117"/>
    <mergeCell ref="AG117:AH117"/>
    <mergeCell ref="AJ117:AK117"/>
    <mergeCell ref="AM117:AN117"/>
    <mergeCell ref="AP117:AQ117"/>
    <mergeCell ref="C112:AE115"/>
    <mergeCell ref="AF112:AQ112"/>
    <mergeCell ref="AF113:AQ113"/>
    <mergeCell ref="AF114:AK114"/>
    <mergeCell ref="AL114:AQ114"/>
    <mergeCell ref="AF115:AH115"/>
    <mergeCell ref="AI115:AK115"/>
    <mergeCell ref="AL115:AN115"/>
    <mergeCell ref="AO115:AQ115"/>
    <mergeCell ref="C103:Z104"/>
    <mergeCell ref="AA103:AB103"/>
    <mergeCell ref="AD103:AK103"/>
    <mergeCell ref="AA104:AB104"/>
    <mergeCell ref="AD104:AK104"/>
    <mergeCell ref="AA105:AB105"/>
    <mergeCell ref="AD105:AK105"/>
    <mergeCell ref="AA106:AB106"/>
    <mergeCell ref="AD106:AK106"/>
    <mergeCell ref="AH75:AL75"/>
    <mergeCell ref="AH76:AL76"/>
    <mergeCell ref="AH77:AL77"/>
    <mergeCell ref="AH78:AL78"/>
    <mergeCell ref="AH79:AL79"/>
    <mergeCell ref="AH81:AL81"/>
    <mergeCell ref="AC101:AK101"/>
    <mergeCell ref="C102:Z102"/>
    <mergeCell ref="AA102:AB102"/>
    <mergeCell ref="AD102:AK102"/>
    <mergeCell ref="D83:AM83"/>
    <mergeCell ref="AF85:AL85"/>
    <mergeCell ref="D86:AD86"/>
    <mergeCell ref="AF86:AL86"/>
    <mergeCell ref="AF91:AM91"/>
    <mergeCell ref="E92:AD92"/>
    <mergeCell ref="AF92:AM92"/>
    <mergeCell ref="AC96:AK96"/>
    <mergeCell ref="C97:AB97"/>
    <mergeCell ref="AC97:AC98"/>
    <mergeCell ref="AD97:AK98"/>
    <mergeCell ref="C98:AB98"/>
    <mergeCell ref="AH65:AL65"/>
    <mergeCell ref="AH66:AL66"/>
    <mergeCell ref="AH67:AL67"/>
    <mergeCell ref="AH68:AL68"/>
    <mergeCell ref="AH69:AL69"/>
    <mergeCell ref="AH70:AL70"/>
    <mergeCell ref="AH71:AL71"/>
    <mergeCell ref="AH73:AL73"/>
    <mergeCell ref="AH74:AL74"/>
    <mergeCell ref="D27:AF27"/>
    <mergeCell ref="AH27:AL27"/>
    <mergeCell ref="D28:AF28"/>
    <mergeCell ref="AH28:AL28"/>
    <mergeCell ref="V29:AF29"/>
    <mergeCell ref="AH29:AL29"/>
    <mergeCell ref="AI55:AL55"/>
    <mergeCell ref="D60:AL61"/>
    <mergeCell ref="AG63:AL63"/>
    <mergeCell ref="AH31:AL31"/>
    <mergeCell ref="D34:AB34"/>
    <mergeCell ref="AH42:AL42"/>
    <mergeCell ref="D43:AE45"/>
    <mergeCell ref="AI44:AL44"/>
    <mergeCell ref="D47:AE49"/>
    <mergeCell ref="AI48:AL48"/>
    <mergeCell ref="D51:AE53"/>
    <mergeCell ref="AI52:AL52"/>
    <mergeCell ref="AH21:AL21"/>
    <mergeCell ref="V22:AF22"/>
    <mergeCell ref="AH22:AL22"/>
    <mergeCell ref="V23:AF23"/>
    <mergeCell ref="AH23:AL23"/>
    <mergeCell ref="AG24:AH24"/>
    <mergeCell ref="D25:AF25"/>
    <mergeCell ref="AH25:AL25"/>
    <mergeCell ref="D26:AF26"/>
    <mergeCell ref="AH26:AL26"/>
    <mergeCell ref="D8:AL9"/>
    <mergeCell ref="AG11:AL11"/>
    <mergeCell ref="AH13:AL13"/>
    <mergeCell ref="AH14:AL14"/>
    <mergeCell ref="AH15:AL15"/>
    <mergeCell ref="V16:AF16"/>
    <mergeCell ref="AH16:AL16"/>
    <mergeCell ref="AH18:AL18"/>
    <mergeCell ref="D19:AF20"/>
    <mergeCell ref="AG19:AG20"/>
    <mergeCell ref="AH19:AL20"/>
    <mergeCell ref="C138:AE138"/>
    <mergeCell ref="AG138:AH138"/>
    <mergeCell ref="AJ138:AK138"/>
    <mergeCell ref="AM138:AN138"/>
    <mergeCell ref="AP138:AQ138"/>
    <mergeCell ref="C139:AE139"/>
    <mergeCell ref="AG139:AH139"/>
    <mergeCell ref="AJ139:AK139"/>
    <mergeCell ref="AM139:AN139"/>
    <mergeCell ref="AP139:AQ139"/>
    <mergeCell ref="C153:AE153"/>
    <mergeCell ref="AG153:AH153"/>
    <mergeCell ref="AJ153:AK153"/>
    <mergeCell ref="AM153:AN153"/>
    <mergeCell ref="AP153:AQ153"/>
    <mergeCell ref="C152:AE152"/>
    <mergeCell ref="AG152:AH152"/>
    <mergeCell ref="AJ152:AK152"/>
    <mergeCell ref="AM152:AN152"/>
    <mergeCell ref="AP152:AQ152"/>
    <mergeCell ref="C154:AE154"/>
    <mergeCell ref="AG154:AH154"/>
    <mergeCell ref="AJ154:AK154"/>
    <mergeCell ref="AM154:AN154"/>
    <mergeCell ref="AP154:AQ154"/>
    <mergeCell ref="D162:AJ163"/>
    <mergeCell ref="D179:W180"/>
    <mergeCell ref="C155:AE155"/>
    <mergeCell ref="AG155:AH155"/>
    <mergeCell ref="AJ155:AK155"/>
    <mergeCell ref="AM155:AN155"/>
    <mergeCell ref="AP155:AQ155"/>
    <mergeCell ref="C156:AE156"/>
    <mergeCell ref="AG156:AH156"/>
    <mergeCell ref="AJ156:AK156"/>
    <mergeCell ref="AM156:AN156"/>
    <mergeCell ref="AP156:AQ156"/>
  </mergeCells>
  <hyperlinks>
    <hyperlink ref="A1" location="ÍNDICE!A1" display="ÍNDIC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J56"/>
  <sheetViews>
    <sheetView zoomScale="90" zoomScaleNormal="90" workbookViewId="0"/>
  </sheetViews>
  <sheetFormatPr baseColWidth="10" defaultRowHeight="15" x14ac:dyDescent="0.25"/>
  <cols>
    <col min="2" max="2" width="37" bestFit="1" customWidth="1"/>
    <col min="3" max="3" width="17.5703125" customWidth="1"/>
    <col min="9" max="9" width="19" bestFit="1" customWidth="1"/>
  </cols>
  <sheetData>
    <row r="1" spans="1:10" x14ac:dyDescent="0.25">
      <c r="A1" s="59" t="s">
        <v>132</v>
      </c>
    </row>
    <row r="2" spans="1:10" x14ac:dyDescent="0.25">
      <c r="A2" s="1" t="s">
        <v>269</v>
      </c>
    </row>
    <row r="3" spans="1:10" s="64" customFormat="1" x14ac:dyDescent="0.25">
      <c r="I3"/>
      <c r="J3"/>
    </row>
    <row r="5" spans="1:10" ht="44.25" customHeight="1" x14ac:dyDescent="0.25">
      <c r="B5" s="648" t="s">
        <v>668</v>
      </c>
      <c r="C5" s="648"/>
    </row>
    <row r="6" spans="1:10" ht="15.75" thickBot="1" x14ac:dyDescent="0.3">
      <c r="B6" s="7"/>
      <c r="C6" s="160">
        <v>2013</v>
      </c>
    </row>
    <row r="7" spans="1:10" s="204" customFormat="1" ht="15.75" thickTop="1" x14ac:dyDescent="0.25">
      <c r="B7" s="24" t="s">
        <v>467</v>
      </c>
      <c r="C7" s="158">
        <v>1.83</v>
      </c>
    </row>
    <row r="8" spans="1:10" x14ac:dyDescent="0.25">
      <c r="B8" s="24" t="s">
        <v>595</v>
      </c>
      <c r="C8" s="578">
        <v>2.96354593136265</v>
      </c>
    </row>
    <row r="9" spans="1:10" x14ac:dyDescent="0.25">
      <c r="B9" s="24" t="s">
        <v>187</v>
      </c>
      <c r="C9" s="158">
        <v>3.87</v>
      </c>
    </row>
    <row r="10" spans="1:10" x14ac:dyDescent="0.25">
      <c r="B10" s="24" t="s">
        <v>188</v>
      </c>
      <c r="C10" s="158">
        <v>3.92</v>
      </c>
    </row>
    <row r="11" spans="1:10" x14ac:dyDescent="0.25">
      <c r="B11" s="24" t="s">
        <v>189</v>
      </c>
      <c r="C11" s="158">
        <v>5.4</v>
      </c>
    </row>
    <row r="12" spans="1:10" x14ac:dyDescent="0.25">
      <c r="B12" s="24" t="s">
        <v>190</v>
      </c>
      <c r="C12" s="158">
        <v>6.32</v>
      </c>
    </row>
    <row r="13" spans="1:10" x14ac:dyDescent="0.25">
      <c r="B13" s="24" t="s">
        <v>192</v>
      </c>
      <c r="C13" s="158">
        <v>8.5500000000000007</v>
      </c>
    </row>
    <row r="14" spans="1:10" x14ac:dyDescent="0.25">
      <c r="B14" s="24" t="s">
        <v>194</v>
      </c>
      <c r="C14" s="158">
        <v>8.58</v>
      </c>
    </row>
    <row r="15" spans="1:10" x14ac:dyDescent="0.25">
      <c r="B15" s="24" t="s">
        <v>191</v>
      </c>
      <c r="C15" s="158">
        <v>8.6999999999999993</v>
      </c>
    </row>
    <row r="16" spans="1:10" x14ac:dyDescent="0.25">
      <c r="B16" s="24" t="s">
        <v>196</v>
      </c>
      <c r="C16" s="158">
        <v>8.77</v>
      </c>
    </row>
    <row r="17" spans="2:3" x14ac:dyDescent="0.25">
      <c r="B17" s="24" t="s">
        <v>198</v>
      </c>
      <c r="C17" s="158">
        <v>8.89</v>
      </c>
    </row>
    <row r="18" spans="2:3" x14ac:dyDescent="0.25">
      <c r="B18" s="24" t="s">
        <v>193</v>
      </c>
      <c r="C18" s="158">
        <v>9.99</v>
      </c>
    </row>
    <row r="19" spans="2:3" x14ac:dyDescent="0.25">
      <c r="B19" s="24" t="s">
        <v>468</v>
      </c>
      <c r="C19" s="158">
        <v>10.42</v>
      </c>
    </row>
    <row r="20" spans="2:3" s="204" customFormat="1" x14ac:dyDescent="0.25">
      <c r="B20" s="24" t="s">
        <v>600</v>
      </c>
      <c r="C20" s="158">
        <v>11.19</v>
      </c>
    </row>
    <row r="21" spans="2:3" x14ac:dyDescent="0.25">
      <c r="B21" s="24" t="s">
        <v>195</v>
      </c>
      <c r="C21" s="158">
        <v>11.25</v>
      </c>
    </row>
    <row r="22" spans="2:3" x14ac:dyDescent="0.25">
      <c r="B22" s="24" t="s">
        <v>197</v>
      </c>
      <c r="C22" s="158">
        <v>11.68</v>
      </c>
    </row>
    <row r="23" spans="2:3" x14ac:dyDescent="0.25">
      <c r="B23" s="24" t="s">
        <v>203</v>
      </c>
      <c r="C23" s="158">
        <v>12.36</v>
      </c>
    </row>
    <row r="24" spans="2:3" x14ac:dyDescent="0.25">
      <c r="B24" s="24" t="s">
        <v>199</v>
      </c>
      <c r="C24" s="158">
        <v>13.16</v>
      </c>
    </row>
    <row r="25" spans="2:3" x14ac:dyDescent="0.25">
      <c r="B25" s="24" t="s">
        <v>202</v>
      </c>
      <c r="C25" s="158">
        <v>13.42</v>
      </c>
    </row>
    <row r="26" spans="2:3" x14ac:dyDescent="0.25">
      <c r="B26" s="24" t="s">
        <v>201</v>
      </c>
      <c r="C26" s="158">
        <v>14.14</v>
      </c>
    </row>
    <row r="27" spans="2:3" x14ac:dyDescent="0.25">
      <c r="B27" s="24" t="s">
        <v>200</v>
      </c>
      <c r="C27" s="158">
        <v>14.25</v>
      </c>
    </row>
    <row r="28" spans="2:3" x14ac:dyDescent="0.25">
      <c r="B28" s="24" t="s">
        <v>204</v>
      </c>
      <c r="C28" s="158">
        <v>15.02</v>
      </c>
    </row>
    <row r="29" spans="2:3" x14ac:dyDescent="0.25">
      <c r="B29" s="24" t="s">
        <v>205</v>
      </c>
      <c r="C29" s="158">
        <v>15.11</v>
      </c>
    </row>
    <row r="30" spans="2:3" x14ac:dyDescent="0.25">
      <c r="B30" s="24" t="s">
        <v>472</v>
      </c>
      <c r="C30" s="158">
        <v>15.52</v>
      </c>
    </row>
    <row r="31" spans="2:3" x14ac:dyDescent="0.25">
      <c r="B31" s="24" t="s">
        <v>206</v>
      </c>
      <c r="C31" s="158">
        <v>15.83</v>
      </c>
    </row>
    <row r="32" spans="2:3" x14ac:dyDescent="0.25">
      <c r="B32" s="24" t="s">
        <v>208</v>
      </c>
      <c r="C32" s="158">
        <v>19.66</v>
      </c>
    </row>
    <row r="33" spans="2:6" s="204" customFormat="1" x14ac:dyDescent="0.25">
      <c r="B33" s="24" t="s">
        <v>207</v>
      </c>
      <c r="C33" s="158">
        <v>20.07</v>
      </c>
    </row>
    <row r="34" spans="2:6" x14ac:dyDescent="0.25">
      <c r="C34" s="580"/>
    </row>
    <row r="35" spans="2:6" x14ac:dyDescent="0.25">
      <c r="C35" s="574"/>
    </row>
    <row r="39" spans="2:6" x14ac:dyDescent="0.25">
      <c r="F39" s="14" t="s">
        <v>483</v>
      </c>
    </row>
    <row r="40" spans="2:6" x14ac:dyDescent="0.25">
      <c r="B40" s="204"/>
      <c r="C40" s="204"/>
      <c r="F40" s="14" t="s">
        <v>474</v>
      </c>
    </row>
    <row r="41" spans="2:6" x14ac:dyDescent="0.25">
      <c r="B41" s="204"/>
    </row>
    <row r="42" spans="2:6" x14ac:dyDescent="0.25">
      <c r="B42" s="204"/>
    </row>
    <row r="43" spans="2:6" x14ac:dyDescent="0.25">
      <c r="B43" s="204"/>
    </row>
    <row r="44" spans="2:6" x14ac:dyDescent="0.25">
      <c r="B44" s="204"/>
    </row>
    <row r="45" spans="2:6" x14ac:dyDescent="0.25">
      <c r="B45" s="204"/>
    </row>
    <row r="46" spans="2:6" x14ac:dyDescent="0.25">
      <c r="B46" s="204"/>
    </row>
    <row r="47" spans="2:6" x14ac:dyDescent="0.25">
      <c r="B47" s="204"/>
    </row>
    <row r="48" spans="2:6" x14ac:dyDescent="0.25">
      <c r="B48" s="204"/>
    </row>
    <row r="49" spans="2:2" x14ac:dyDescent="0.25">
      <c r="B49" s="204"/>
    </row>
    <row r="50" spans="2:2" x14ac:dyDescent="0.25">
      <c r="B50" s="204"/>
    </row>
    <row r="51" spans="2:2" x14ac:dyDescent="0.25">
      <c r="B51" s="204"/>
    </row>
    <row r="52" spans="2:2" x14ac:dyDescent="0.25">
      <c r="B52" s="204"/>
    </row>
    <row r="53" spans="2:2" x14ac:dyDescent="0.25">
      <c r="B53" s="204"/>
    </row>
    <row r="54" spans="2:2" x14ac:dyDescent="0.25">
      <c r="B54" s="204"/>
    </row>
    <row r="55" spans="2:2" x14ac:dyDescent="0.25">
      <c r="B55" s="204"/>
    </row>
    <row r="56" spans="2:2" x14ac:dyDescent="0.25">
      <c r="B56" s="204"/>
    </row>
  </sheetData>
  <sheetProtection password="C69F" sheet="1" objects="1" scenarios="1"/>
  <mergeCells count="1">
    <mergeCell ref="B5:C5"/>
  </mergeCells>
  <hyperlinks>
    <hyperlink ref="A1" location="ÍNDICE!A1" display="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66"/>
  <sheetViews>
    <sheetView zoomScale="90" zoomScaleNormal="90" workbookViewId="0"/>
  </sheetViews>
  <sheetFormatPr baseColWidth="10" defaultRowHeight="15" x14ac:dyDescent="0.25"/>
  <cols>
    <col min="2" max="2" width="11.42578125" style="64"/>
    <col min="3" max="3" width="63.85546875" customWidth="1"/>
    <col min="4" max="4" width="23.42578125" style="112" bestFit="1" customWidth="1"/>
    <col min="5" max="5" width="15.140625" style="121" customWidth="1"/>
    <col min="6" max="6" width="15.7109375" style="139" customWidth="1"/>
    <col min="7" max="7" width="17.42578125" style="139" customWidth="1"/>
    <col min="8" max="8" width="47.7109375" style="139" bestFit="1" customWidth="1"/>
    <col min="9" max="9" width="23.85546875" customWidth="1"/>
    <col min="11" max="11" width="23.140625" style="112" customWidth="1"/>
  </cols>
  <sheetData>
    <row r="1" spans="1:12" s="64" customFormat="1" x14ac:dyDescent="0.25">
      <c r="A1" s="59" t="s">
        <v>132</v>
      </c>
      <c r="B1" s="59"/>
      <c r="D1" s="112"/>
      <c r="E1" s="121"/>
      <c r="F1" s="139"/>
      <c r="G1" s="139"/>
      <c r="H1" s="139"/>
      <c r="K1" s="112"/>
    </row>
    <row r="2" spans="1:12" x14ac:dyDescent="0.25">
      <c r="A2" s="1" t="s">
        <v>366</v>
      </c>
      <c r="B2" s="1"/>
      <c r="C2" s="1"/>
      <c r="D2" s="1"/>
      <c r="E2" s="1"/>
      <c r="F2" s="1"/>
      <c r="G2" s="1"/>
      <c r="H2" s="1"/>
    </row>
    <row r="3" spans="1:12" s="64" customFormat="1" x14ac:dyDescent="0.25">
      <c r="D3" s="112"/>
      <c r="E3" s="121"/>
      <c r="F3" s="139"/>
      <c r="G3" s="139"/>
      <c r="H3" s="139"/>
      <c r="I3" s="96"/>
      <c r="K3" s="112"/>
    </row>
    <row r="4" spans="1:12" x14ac:dyDescent="0.25">
      <c r="A4" s="58" t="s">
        <v>103</v>
      </c>
      <c r="B4" t="s">
        <v>629</v>
      </c>
      <c r="I4" s="148"/>
    </row>
    <row r="5" spans="1:12" x14ac:dyDescent="0.25">
      <c r="D5" s="240"/>
      <c r="I5" s="240"/>
    </row>
    <row r="6" spans="1:12" ht="28.5" customHeight="1" x14ac:dyDescent="0.25">
      <c r="B6" s="125"/>
      <c r="C6" s="651" t="s">
        <v>273</v>
      </c>
      <c r="D6" s="654" t="s">
        <v>381</v>
      </c>
      <c r="E6" s="649"/>
      <c r="F6" s="655" t="s">
        <v>475</v>
      </c>
      <c r="G6" s="646"/>
      <c r="H6" s="572" t="s">
        <v>602</v>
      </c>
      <c r="I6" s="653" t="s">
        <v>298</v>
      </c>
      <c r="J6" s="649"/>
      <c r="K6" s="649" t="s">
        <v>286</v>
      </c>
    </row>
    <row r="7" spans="1:12" ht="15.75" thickBot="1" x14ac:dyDescent="0.3">
      <c r="B7" s="126"/>
      <c r="C7" s="652"/>
      <c r="D7" s="131" t="s">
        <v>601</v>
      </c>
      <c r="E7" s="573" t="s">
        <v>9</v>
      </c>
      <c r="F7" s="131" t="s">
        <v>217</v>
      </c>
      <c r="G7" s="573" t="s">
        <v>9</v>
      </c>
      <c r="H7" s="131"/>
      <c r="I7" s="131" t="s">
        <v>603</v>
      </c>
      <c r="J7" s="573" t="s">
        <v>9</v>
      </c>
      <c r="K7" s="650"/>
    </row>
    <row r="8" spans="1:12" ht="15.75" thickTop="1" x14ac:dyDescent="0.25">
      <c r="B8" s="106" t="s">
        <v>105</v>
      </c>
      <c r="C8" s="24" t="s">
        <v>22</v>
      </c>
      <c r="D8" s="189">
        <f xml:space="preserve"> (5124378+20433866)/1000</f>
        <v>25558.243999999999</v>
      </c>
      <c r="E8" s="515">
        <f>+D8/$D$27</f>
        <v>0.13671517230951397</v>
      </c>
      <c r="F8" s="189">
        <f xml:space="preserve"> 20+ 36</f>
        <v>56</v>
      </c>
      <c r="G8" s="515">
        <f>+F8/$F$27</f>
        <v>8.6286594761171037E-2</v>
      </c>
      <c r="H8" s="516">
        <f>+D8/F8</f>
        <v>456.39721428571426</v>
      </c>
      <c r="I8" s="61">
        <f>(4091701737+1707975564)/1000</f>
        <v>5799677.301</v>
      </c>
      <c r="J8" s="593">
        <f>I8/$I$27</f>
        <v>3.7021955099533745E-2</v>
      </c>
      <c r="K8" s="517">
        <f t="shared" ref="K8:K26" si="0">D8/I8</f>
        <v>4.4068389797468832E-3</v>
      </c>
    </row>
    <row r="9" spans="1:12" x14ac:dyDescent="0.25">
      <c r="B9" s="94" t="s">
        <v>106</v>
      </c>
      <c r="C9" s="24" t="s">
        <v>23</v>
      </c>
      <c r="D9" s="189">
        <f>19348.482</f>
        <v>19348.482</v>
      </c>
      <c r="E9" s="515">
        <f t="shared" ref="E9:E27" si="1">+D9/$D$27</f>
        <v>0.10349815310306645</v>
      </c>
      <c r="F9" s="189">
        <v>10</v>
      </c>
      <c r="G9" s="515">
        <f>+F9/$F$27</f>
        <v>1.5408320493066256E-2</v>
      </c>
      <c r="H9" s="518">
        <f t="shared" ref="H9:H26" si="2">+D9/F9</f>
        <v>1934.8481999999999</v>
      </c>
      <c r="I9" s="61">
        <f>25036094.259</f>
        <v>25036094.259</v>
      </c>
      <c r="J9" s="594">
        <f t="shared" ref="J9:J27" si="3">I9/$I$27</f>
        <v>0.15981667762180077</v>
      </c>
      <c r="K9" s="517">
        <f t="shared" si="0"/>
        <v>7.7282350033670247E-4</v>
      </c>
    </row>
    <row r="10" spans="1:12" x14ac:dyDescent="0.25">
      <c r="B10" s="94" t="s">
        <v>107</v>
      </c>
      <c r="C10" s="24" t="s">
        <v>24</v>
      </c>
      <c r="D10" s="189">
        <f>(28048812+16205356+ 11984680)/1000</f>
        <v>56238.847999999998</v>
      </c>
      <c r="E10" s="515">
        <f t="shared" si="1"/>
        <v>0.30083067501854061</v>
      </c>
      <c r="F10" s="189">
        <f>132+ 53+  39</f>
        <v>224</v>
      </c>
      <c r="G10" s="515">
        <f t="shared" ref="G10:G27" si="4">+F10/$F$27</f>
        <v>0.34514637904468415</v>
      </c>
      <c r="H10" s="518">
        <f>+D10/F10</f>
        <v>251.0662857142857</v>
      </c>
      <c r="I10" s="61">
        <f>(18533378763+8355967682+ 3435093266)/1000</f>
        <v>30324439.710999999</v>
      </c>
      <c r="J10" s="594">
        <f t="shared" si="3"/>
        <v>0.19357457098614531</v>
      </c>
      <c r="K10" s="517">
        <f t="shared" si="0"/>
        <v>1.8545717096827253E-3</v>
      </c>
      <c r="L10" s="204"/>
    </row>
    <row r="11" spans="1:12" x14ac:dyDescent="0.25">
      <c r="B11" s="94" t="s">
        <v>108</v>
      </c>
      <c r="C11" s="24" t="s">
        <v>25</v>
      </c>
      <c r="D11" s="189">
        <f xml:space="preserve"> 1419.079</f>
        <v>1419.079</v>
      </c>
      <c r="E11" s="515">
        <f t="shared" si="1"/>
        <v>7.5908826132895816E-3</v>
      </c>
      <c r="F11" s="189">
        <f xml:space="preserve">   4</f>
        <v>4</v>
      </c>
      <c r="G11" s="515">
        <f t="shared" si="4"/>
        <v>6.1633281972265025E-3</v>
      </c>
      <c r="H11" s="518">
        <f t="shared" si="2"/>
        <v>354.76974999999999</v>
      </c>
      <c r="I11" s="61">
        <f>5568812.712</f>
        <v>5568812.7120000003</v>
      </c>
      <c r="J11" s="594">
        <f t="shared" si="3"/>
        <v>3.55482423385571E-2</v>
      </c>
      <c r="K11" s="517">
        <f t="shared" si="0"/>
        <v>2.5482613141973446E-4</v>
      </c>
      <c r="L11" s="204"/>
    </row>
    <row r="12" spans="1:12" x14ac:dyDescent="0.25">
      <c r="B12" s="94" t="s">
        <v>109</v>
      </c>
      <c r="C12" s="24" t="s">
        <v>26</v>
      </c>
      <c r="D12" s="189">
        <f>1190.35</f>
        <v>1190.3499999999999</v>
      </c>
      <c r="E12" s="515">
        <f t="shared" si="1"/>
        <v>6.3673742749552724E-3</v>
      </c>
      <c r="F12" s="189">
        <f xml:space="preserve">  9</f>
        <v>9</v>
      </c>
      <c r="G12" s="515">
        <f t="shared" si="4"/>
        <v>1.386748844375963E-2</v>
      </c>
      <c r="H12" s="518">
        <f t="shared" si="2"/>
        <v>132.26111111111109</v>
      </c>
      <c r="I12" s="61">
        <f xml:space="preserve"> 997537.856</f>
        <v>997537.85600000003</v>
      </c>
      <c r="J12" s="594">
        <f t="shared" si="3"/>
        <v>6.3677338924614697E-3</v>
      </c>
      <c r="K12" s="517">
        <f t="shared" si="0"/>
        <v>1.1932880470052055E-3</v>
      </c>
      <c r="L12" s="204"/>
    </row>
    <row r="13" spans="1:12" x14ac:dyDescent="0.25">
      <c r="B13" s="94" t="s">
        <v>110</v>
      </c>
      <c r="C13" s="24" t="s">
        <v>27</v>
      </c>
      <c r="D13" s="189">
        <f>1190.365</f>
        <v>1190.365</v>
      </c>
      <c r="E13" s="515">
        <f t="shared" si="1"/>
        <v>6.3674545123763044E-3</v>
      </c>
      <c r="F13" s="189">
        <f>14</f>
        <v>14</v>
      </c>
      <c r="G13" s="515">
        <f t="shared" si="4"/>
        <v>2.1571648690292759E-2</v>
      </c>
      <c r="H13" s="518">
        <f t="shared" si="2"/>
        <v>85.026071428571427</v>
      </c>
      <c r="I13" s="61">
        <f xml:space="preserve"> 2463983.124</f>
        <v>2463983.1239999998</v>
      </c>
      <c r="J13" s="594">
        <f t="shared" si="3"/>
        <v>1.5728715210932196E-2</v>
      </c>
      <c r="K13" s="517">
        <f t="shared" si="0"/>
        <v>4.8310598737688436E-4</v>
      </c>
      <c r="L13" s="204"/>
    </row>
    <row r="14" spans="1:12" x14ac:dyDescent="0.25">
      <c r="B14" s="94" t="s">
        <v>111</v>
      </c>
      <c r="C14" s="24" t="s">
        <v>605</v>
      </c>
      <c r="D14" s="189">
        <f xml:space="preserve"> (6461589+15225062+155220)/1000</f>
        <v>21841.870999999999</v>
      </c>
      <c r="E14" s="515">
        <f t="shared" si="1"/>
        <v>0.11683569330221498</v>
      </c>
      <c r="F14" s="189">
        <f xml:space="preserve"> 1+51+ 5</f>
        <v>57</v>
      </c>
      <c r="G14" s="515">
        <f t="shared" si="4"/>
        <v>8.7827426810477657E-2</v>
      </c>
      <c r="H14" s="518">
        <f t="shared" si="2"/>
        <v>383.1907192982456</v>
      </c>
      <c r="I14" s="61">
        <f>(995875794+ 16432394483+8217462613)/1000</f>
        <v>25645732.890000001</v>
      </c>
      <c r="J14" s="594">
        <f t="shared" si="3"/>
        <v>0.16370827586985012</v>
      </c>
      <c r="K14" s="517">
        <f t="shared" si="0"/>
        <v>8.516766158988096E-4</v>
      </c>
      <c r="L14" s="204"/>
    </row>
    <row r="15" spans="1:12" x14ac:dyDescent="0.25">
      <c r="B15" s="94" t="s">
        <v>112</v>
      </c>
      <c r="C15" s="24" t="s">
        <v>29</v>
      </c>
      <c r="D15" s="189">
        <f xml:space="preserve"> 3088.987</f>
        <v>3088.9870000000001</v>
      </c>
      <c r="E15" s="515">
        <f t="shared" si="1"/>
        <v>1.6523490031899245E-2</v>
      </c>
      <c r="F15" s="189">
        <f xml:space="preserve"> 11</f>
        <v>11</v>
      </c>
      <c r="G15" s="515">
        <f t="shared" si="4"/>
        <v>1.6949152542372881E-2</v>
      </c>
      <c r="H15" s="518">
        <f t="shared" si="2"/>
        <v>280.81700000000001</v>
      </c>
      <c r="I15" s="61">
        <f>4754480.244</f>
        <v>4754480.2439999999</v>
      </c>
      <c r="J15" s="594">
        <f t="shared" si="3"/>
        <v>3.0349991039094238E-2</v>
      </c>
      <c r="K15" s="517">
        <f t="shared" si="0"/>
        <v>6.497002493381272E-4</v>
      </c>
      <c r="L15" s="204"/>
    </row>
    <row r="16" spans="1:12" x14ac:dyDescent="0.25">
      <c r="B16" s="94" t="s">
        <v>76</v>
      </c>
      <c r="C16" s="24" t="s">
        <v>30</v>
      </c>
      <c r="D16" s="189">
        <f xml:space="preserve"> 169.068</f>
        <v>169.06800000000001</v>
      </c>
      <c r="E16" s="515">
        <f t="shared" si="1"/>
        <v>9.0437201992534812E-4</v>
      </c>
      <c r="F16" s="189">
        <f>1</f>
        <v>1</v>
      </c>
      <c r="G16" s="515">
        <f t="shared" si="4"/>
        <v>1.5408320493066256E-3</v>
      </c>
      <c r="H16" s="518">
        <f t="shared" si="2"/>
        <v>169.06800000000001</v>
      </c>
      <c r="I16" s="61">
        <f xml:space="preserve"> 265264.332</f>
        <v>265264.33199999999</v>
      </c>
      <c r="J16" s="594">
        <f t="shared" si="3"/>
        <v>1.6933018302791624E-3</v>
      </c>
      <c r="K16" s="517">
        <f t="shared" si="0"/>
        <v>6.3735670274735624E-4</v>
      </c>
      <c r="L16" s="204"/>
    </row>
    <row r="17" spans="2:13" x14ac:dyDescent="0.25">
      <c r="B17" s="94" t="s">
        <v>113</v>
      </c>
      <c r="C17" s="24" t="s">
        <v>606</v>
      </c>
      <c r="D17" s="189">
        <f xml:space="preserve">  (1188427+  9183913)/1000</f>
        <v>10372.34</v>
      </c>
      <c r="E17" s="515">
        <f t="shared" si="1"/>
        <v>5.5483320777157626E-2</v>
      </c>
      <c r="F17" s="189">
        <f xml:space="preserve">  11+ 55</f>
        <v>66</v>
      </c>
      <c r="G17" s="515">
        <f t="shared" si="4"/>
        <v>0.10169491525423729</v>
      </c>
      <c r="H17" s="518">
        <f t="shared" si="2"/>
        <v>157.15666666666667</v>
      </c>
      <c r="I17" s="61">
        <f>(5509281911+3696693942)/1000</f>
        <v>9205975.8530000001</v>
      </c>
      <c r="J17" s="594">
        <f t="shared" si="3"/>
        <v>5.8765894546993498E-2</v>
      </c>
      <c r="K17" s="517">
        <f t="shared" si="0"/>
        <v>1.126696416069776E-3</v>
      </c>
      <c r="L17" s="204"/>
    </row>
    <row r="18" spans="2:13" x14ac:dyDescent="0.25">
      <c r="B18" s="94" t="s">
        <v>114</v>
      </c>
      <c r="C18" s="24" t="s">
        <v>32</v>
      </c>
      <c r="D18" s="189">
        <f xml:space="preserve"> 10434.147</f>
        <v>10434.147000000001</v>
      </c>
      <c r="E18" s="515">
        <f t="shared" si="1"/>
        <v>5.5813936395935432E-2</v>
      </c>
      <c r="F18" s="189">
        <f xml:space="preserve"> 8</f>
        <v>8</v>
      </c>
      <c r="G18" s="515">
        <f t="shared" si="4"/>
        <v>1.2326656394453005E-2</v>
      </c>
      <c r="H18" s="518">
        <f t="shared" si="2"/>
        <v>1304.2683750000001</v>
      </c>
      <c r="I18" s="61">
        <f xml:space="preserve"> 34434125.566</f>
        <v>34434125.566</v>
      </c>
      <c r="J18" s="594">
        <f t="shared" si="3"/>
        <v>0.2198085487232799</v>
      </c>
      <c r="K18" s="517">
        <f t="shared" si="0"/>
        <v>3.0301762651125953E-4</v>
      </c>
      <c r="L18" s="204"/>
    </row>
    <row r="19" spans="2:13" x14ac:dyDescent="0.25">
      <c r="B19" s="94" t="s">
        <v>115</v>
      </c>
      <c r="C19" s="24" t="s">
        <v>33</v>
      </c>
      <c r="D19" s="189">
        <f>0</f>
        <v>0</v>
      </c>
      <c r="E19" s="515">
        <f t="shared" si="1"/>
        <v>0</v>
      </c>
      <c r="F19" s="189">
        <v>0</v>
      </c>
      <c r="G19" s="515">
        <f t="shared" si="4"/>
        <v>0</v>
      </c>
      <c r="H19" s="518" t="s">
        <v>128</v>
      </c>
      <c r="I19" s="61">
        <f>608388.449</f>
        <v>608388.44900000002</v>
      </c>
      <c r="J19" s="594">
        <f t="shared" si="3"/>
        <v>3.8836177726766555E-3</v>
      </c>
      <c r="K19" s="517" t="s">
        <v>128</v>
      </c>
      <c r="L19" s="204"/>
    </row>
    <row r="20" spans="2:13" x14ac:dyDescent="0.25">
      <c r="B20" s="94" t="s">
        <v>116</v>
      </c>
      <c r="C20" s="24" t="s">
        <v>608</v>
      </c>
      <c r="D20" s="189">
        <f xml:space="preserve"> (3664205+1049395+ 13347902+ 15450773)/1000</f>
        <v>33512.275000000001</v>
      </c>
      <c r="E20" s="515">
        <f t="shared" si="1"/>
        <v>0.17926256792559056</v>
      </c>
      <c r="F20" s="189">
        <f>19+ 12+ 58+71</f>
        <v>160</v>
      </c>
      <c r="G20" s="515">
        <f t="shared" si="4"/>
        <v>0.24653312788906009</v>
      </c>
      <c r="H20" s="518">
        <f t="shared" si="2"/>
        <v>209.45171875</v>
      </c>
      <c r="I20" s="61">
        <f xml:space="preserve"> (255074681+ 199963023+ 8992742294+131476754)/1000</f>
        <v>9579256.7520000003</v>
      </c>
      <c r="J20" s="594">
        <f t="shared" si="3"/>
        <v>6.1148714825616381E-2</v>
      </c>
      <c r="K20" s="517">
        <f t="shared" si="0"/>
        <v>3.4984212102889046E-3</v>
      </c>
      <c r="L20" s="204"/>
    </row>
    <row r="21" spans="2:13" x14ac:dyDescent="0.25">
      <c r="B21" s="94" t="s">
        <v>117</v>
      </c>
      <c r="C21" s="24" t="s">
        <v>35</v>
      </c>
      <c r="D21" s="189">
        <f xml:space="preserve"> 611.709</f>
        <v>611.70899999999995</v>
      </c>
      <c r="E21" s="515">
        <f t="shared" si="1"/>
        <v>3.272130172099479E-3</v>
      </c>
      <c r="F21" s="189">
        <f xml:space="preserve"> 11</f>
        <v>11</v>
      </c>
      <c r="G21" s="515">
        <f t="shared" si="4"/>
        <v>1.6949152542372881E-2</v>
      </c>
      <c r="H21" s="518">
        <f t="shared" si="2"/>
        <v>55.609909090909085</v>
      </c>
      <c r="I21" s="61">
        <f>900430.157</f>
        <v>900430.15700000001</v>
      </c>
      <c r="J21" s="594">
        <f t="shared" si="3"/>
        <v>5.7478516670181412E-3</v>
      </c>
      <c r="K21" s="517">
        <f t="shared" si="0"/>
        <v>6.7935196888346773E-4</v>
      </c>
      <c r="L21" s="204"/>
    </row>
    <row r="22" spans="2:13" x14ac:dyDescent="0.25">
      <c r="B22" s="94" t="s">
        <v>118</v>
      </c>
      <c r="C22" s="24" t="s">
        <v>36</v>
      </c>
      <c r="D22" s="189">
        <v>0</v>
      </c>
      <c r="E22" s="515">
        <f t="shared" si="1"/>
        <v>0</v>
      </c>
      <c r="F22" s="189">
        <v>0</v>
      </c>
      <c r="G22" s="515">
        <f t="shared" si="4"/>
        <v>0</v>
      </c>
      <c r="H22" s="518" t="s">
        <v>128</v>
      </c>
      <c r="I22" s="61">
        <v>0</v>
      </c>
      <c r="J22" s="594">
        <f t="shared" si="3"/>
        <v>0</v>
      </c>
      <c r="K22" s="517" t="s">
        <v>128</v>
      </c>
      <c r="L22" s="204"/>
    </row>
    <row r="23" spans="2:13" x14ac:dyDescent="0.25">
      <c r="B23" s="94" t="s">
        <v>119</v>
      </c>
      <c r="C23" s="24" t="s">
        <v>37</v>
      </c>
      <c r="D23" s="189">
        <f xml:space="preserve"> 710.696</f>
        <v>710.69600000000003</v>
      </c>
      <c r="E23" s="515">
        <f t="shared" si="1"/>
        <v>3.8016276118062863E-3</v>
      </c>
      <c r="F23" s="189">
        <v>4</v>
      </c>
      <c r="G23" s="515">
        <f t="shared" si="4"/>
        <v>6.1633281972265025E-3</v>
      </c>
      <c r="H23" s="518">
        <f t="shared" si="2"/>
        <v>177.67400000000001</v>
      </c>
      <c r="I23" s="61">
        <f>49723.488</f>
        <v>49723.487999999998</v>
      </c>
      <c r="J23" s="594">
        <f t="shared" si="3"/>
        <v>3.1740744261940187E-4</v>
      </c>
      <c r="K23" s="517">
        <f t="shared" si="0"/>
        <v>1.4292963518568931E-2</v>
      </c>
      <c r="L23" s="204"/>
    </row>
    <row r="24" spans="2:13" x14ac:dyDescent="0.25">
      <c r="B24" s="94" t="s">
        <v>120</v>
      </c>
      <c r="C24" s="24" t="s">
        <v>38</v>
      </c>
      <c r="D24" s="189">
        <f>800.57</f>
        <v>800.57</v>
      </c>
      <c r="E24" s="515">
        <f t="shared" si="1"/>
        <v>4.2823781436560201E-3</v>
      </c>
      <c r="F24" s="189">
        <f>10</f>
        <v>10</v>
      </c>
      <c r="G24" s="515">
        <f t="shared" si="4"/>
        <v>1.5408320493066256E-2</v>
      </c>
      <c r="H24" s="518">
        <f t="shared" si="2"/>
        <v>80.057000000000002</v>
      </c>
      <c r="I24" s="61">
        <f>(18300000+716812706)/1000</f>
        <v>735112.70600000001</v>
      </c>
      <c r="J24" s="594">
        <f t="shared" si="3"/>
        <v>4.6925558409838071E-3</v>
      </c>
      <c r="K24" s="517">
        <f t="shared" si="0"/>
        <v>1.0890438887339814E-3</v>
      </c>
      <c r="L24" s="204"/>
    </row>
    <row r="25" spans="2:13" x14ac:dyDescent="0.25">
      <c r="B25" s="94" t="s">
        <v>121</v>
      </c>
      <c r="C25" s="24" t="s">
        <v>39</v>
      </c>
      <c r="D25" s="189">
        <v>0</v>
      </c>
      <c r="E25" s="515">
        <f t="shared" si="1"/>
        <v>0</v>
      </c>
      <c r="F25" s="189">
        <v>0</v>
      </c>
      <c r="G25" s="515">
        <f t="shared" si="4"/>
        <v>0</v>
      </c>
      <c r="H25" s="518" t="s">
        <v>128</v>
      </c>
      <c r="I25" s="61">
        <f xml:space="preserve"> 226601.843</f>
        <v>226601.84299999999</v>
      </c>
      <c r="J25" s="594">
        <f t="shared" si="3"/>
        <v>1.446501731324102E-3</v>
      </c>
      <c r="K25" s="517" t="s">
        <v>128</v>
      </c>
      <c r="L25" s="204"/>
    </row>
    <row r="26" spans="2:13" x14ac:dyDescent="0.25">
      <c r="B26" s="95" t="s">
        <v>122</v>
      </c>
      <c r="C26" s="24" t="s">
        <v>40</v>
      </c>
      <c r="D26" s="189">
        <f>458.16</f>
        <v>458.16</v>
      </c>
      <c r="E26" s="515">
        <f t="shared" si="1"/>
        <v>2.4507717879728719E-3</v>
      </c>
      <c r="F26" s="189">
        <v>4</v>
      </c>
      <c r="G26" s="515">
        <f t="shared" si="4"/>
        <v>6.1633281972265025E-3</v>
      </c>
      <c r="H26" s="519">
        <f t="shared" si="2"/>
        <v>114.54</v>
      </c>
      <c r="I26" s="61">
        <v>59441.760999999999</v>
      </c>
      <c r="J26" s="595">
        <f t="shared" si="3"/>
        <v>3.794435608339403E-4</v>
      </c>
      <c r="K26" s="517">
        <f t="shared" si="0"/>
        <v>7.7077124279679408E-3</v>
      </c>
      <c r="L26" s="204"/>
    </row>
    <row r="27" spans="2:13" x14ac:dyDescent="0.25">
      <c r="B27" s="95"/>
      <c r="C27" s="166" t="s">
        <v>8</v>
      </c>
      <c r="D27" s="190">
        <f>SUM(D8:D26)</f>
        <v>186945.19099999999</v>
      </c>
      <c r="E27" s="520">
        <f t="shared" si="1"/>
        <v>1</v>
      </c>
      <c r="F27" s="190">
        <f>SUM(F8:F26)</f>
        <v>649</v>
      </c>
      <c r="G27" s="521">
        <f t="shared" si="4"/>
        <v>1</v>
      </c>
      <c r="H27" s="522">
        <f t="shared" ref="H27" si="5">+D27/F27</f>
        <v>288.05114175654853</v>
      </c>
      <c r="I27" s="190">
        <f>SUM(I8:I26)</f>
        <v>156655079.00400001</v>
      </c>
      <c r="J27" s="592">
        <f t="shared" si="3"/>
        <v>1</v>
      </c>
      <c r="K27" s="524">
        <f>D27/I27</f>
        <v>1.1933554417040417E-3</v>
      </c>
    </row>
    <row r="28" spans="2:13" x14ac:dyDescent="0.25">
      <c r="B28" s="25"/>
      <c r="C28" s="78" t="s">
        <v>264</v>
      </c>
      <c r="D28" s="78"/>
      <c r="E28" s="78"/>
      <c r="F28" s="242"/>
      <c r="G28" s="78"/>
      <c r="H28" s="78"/>
      <c r="I28" s="25"/>
      <c r="J28" s="25"/>
      <c r="K28" s="25"/>
    </row>
    <row r="29" spans="2:13" x14ac:dyDescent="0.25">
      <c r="B29" s="25"/>
      <c r="C29" s="78" t="s">
        <v>604</v>
      </c>
      <c r="D29" s="78"/>
      <c r="E29" s="170"/>
      <c r="F29" s="78"/>
      <c r="G29" s="78"/>
      <c r="H29" s="78"/>
      <c r="I29" s="25"/>
      <c r="J29" s="25"/>
      <c r="K29" s="25"/>
    </row>
    <row r="30" spans="2:13" x14ac:dyDescent="0.25">
      <c r="B30" s="25"/>
      <c r="C30" s="78" t="s">
        <v>607</v>
      </c>
      <c r="D30" s="78"/>
      <c r="E30" s="170"/>
      <c r="F30" s="78"/>
      <c r="G30" s="78"/>
      <c r="H30" s="78"/>
      <c r="I30" s="25"/>
      <c r="J30" s="25"/>
      <c r="K30" s="25"/>
    </row>
    <row r="31" spans="2:13" x14ac:dyDescent="0.25">
      <c r="C31" s="231" t="s">
        <v>609</v>
      </c>
      <c r="D31" s="170"/>
      <c r="I31" s="140"/>
    </row>
    <row r="32" spans="2:13" ht="15" customHeight="1" x14ac:dyDescent="0.25">
      <c r="C32" s="586"/>
      <c r="D32" s="585"/>
      <c r="E32" s="585"/>
      <c r="F32" s="585"/>
      <c r="G32" s="585"/>
      <c r="H32" s="585"/>
      <c r="I32" s="587"/>
      <c r="J32" s="585"/>
      <c r="K32" s="585"/>
      <c r="L32" s="585"/>
      <c r="M32" s="585"/>
    </row>
    <row r="33" spans="2:13" ht="27" customHeight="1" x14ac:dyDescent="0.25">
      <c r="B33" s="125"/>
      <c r="C33" s="651" t="s">
        <v>273</v>
      </c>
      <c r="D33" s="655" t="s">
        <v>381</v>
      </c>
      <c r="E33" s="649"/>
      <c r="F33" s="655" t="s">
        <v>475</v>
      </c>
      <c r="G33" s="646"/>
      <c r="H33" s="572" t="s">
        <v>611</v>
      </c>
      <c r="I33" s="655" t="s">
        <v>298</v>
      </c>
      <c r="J33" s="649"/>
      <c r="K33" s="649" t="s">
        <v>286</v>
      </c>
      <c r="L33" s="585"/>
      <c r="M33" s="585"/>
    </row>
    <row r="34" spans="2:13" ht="15.75" thickBot="1" x14ac:dyDescent="0.3">
      <c r="B34" s="126"/>
      <c r="C34" s="652"/>
      <c r="D34" s="131" t="s">
        <v>610</v>
      </c>
      <c r="E34" s="583" t="s">
        <v>9</v>
      </c>
      <c r="F34" s="131" t="s">
        <v>217</v>
      </c>
      <c r="G34" s="583" t="s">
        <v>9</v>
      </c>
      <c r="H34" s="131"/>
      <c r="I34" s="131" t="s">
        <v>612</v>
      </c>
      <c r="J34" s="583" t="s">
        <v>9</v>
      </c>
      <c r="K34" s="650"/>
      <c r="L34" s="585"/>
      <c r="M34" s="585"/>
    </row>
    <row r="35" spans="2:13" ht="15.75" thickTop="1" x14ac:dyDescent="0.25">
      <c r="B35" s="198" t="s">
        <v>105</v>
      </c>
      <c r="C35" s="588" t="s">
        <v>22</v>
      </c>
      <c r="D35" s="604">
        <f>(6467798+25190368)/1000</f>
        <v>31658.166000000001</v>
      </c>
      <c r="E35" s="515">
        <f>+D35/$D$54</f>
        <v>0.16877648517556812</v>
      </c>
      <c r="F35" s="599">
        <f xml:space="preserve"> 18+31</f>
        <v>49</v>
      </c>
      <c r="G35" s="515">
        <f>+F35/$F$54</f>
        <v>8.0459770114942528E-2</v>
      </c>
      <c r="H35" s="516">
        <f>+D35/F35</f>
        <v>646.08502040816325</v>
      </c>
      <c r="I35" s="61">
        <f>(3083847474+1575844699)/1000</f>
        <v>4659692.1730000004</v>
      </c>
      <c r="J35" s="600">
        <f>I35/$I$54</f>
        <v>2.915373995578175E-2</v>
      </c>
      <c r="K35" s="517">
        <f>D35/I35</f>
        <v>6.7940466504288113E-3</v>
      </c>
      <c r="L35" s="585"/>
      <c r="M35" s="585"/>
    </row>
    <row r="36" spans="2:13" x14ac:dyDescent="0.25">
      <c r="B36" s="195" t="s">
        <v>106</v>
      </c>
      <c r="C36" s="588" t="s">
        <v>23</v>
      </c>
      <c r="D36" s="605">
        <f>(32876401)/1000</f>
        <v>32876.400999999998</v>
      </c>
      <c r="E36" s="515">
        <f t="shared" ref="E36:E53" si="6">+D36/$D$54</f>
        <v>0.17527115771654406</v>
      </c>
      <c r="F36" s="601">
        <v>16</v>
      </c>
      <c r="G36" s="515">
        <f t="shared" ref="G36:G53" si="7">+F36/$F$54</f>
        <v>2.6272577996715927E-2</v>
      </c>
      <c r="H36" s="518">
        <f t="shared" ref="H36" si="8">+D36/F36</f>
        <v>2054.7750624999999</v>
      </c>
      <c r="I36" s="61">
        <f>30088117715/1000</f>
        <v>30088117.715</v>
      </c>
      <c r="J36" s="602">
        <f t="shared" ref="J36:J53" si="9">I36/$I$54</f>
        <v>0.1882487355505533</v>
      </c>
      <c r="K36" s="517">
        <f t="shared" ref="K36:K44" si="10">D36/I36</f>
        <v>1.0926705788448156E-3</v>
      </c>
      <c r="L36" s="585"/>
      <c r="M36" s="585"/>
    </row>
    <row r="37" spans="2:13" x14ac:dyDescent="0.25">
      <c r="B37" s="195" t="s">
        <v>107</v>
      </c>
      <c r="C37" s="588" t="s">
        <v>24</v>
      </c>
      <c r="D37" s="605">
        <f>(25661768+8250444+7340388)/1000</f>
        <v>41252.6</v>
      </c>
      <c r="E37" s="515">
        <f t="shared" si="6"/>
        <v>0.21992647433694174</v>
      </c>
      <c r="F37" s="601">
        <f>135+53+35</f>
        <v>223</v>
      </c>
      <c r="G37" s="515">
        <f t="shared" si="7"/>
        <v>0.36617405582922824</v>
      </c>
      <c r="H37" s="518">
        <f>+D37/F37</f>
        <v>184.98923766816142</v>
      </c>
      <c r="I37" s="61">
        <f>(17982645910+6784521859+3276110851)/1000</f>
        <v>28043278.620000001</v>
      </c>
      <c r="J37" s="602">
        <f t="shared" si="9"/>
        <v>0.17545503480515301</v>
      </c>
      <c r="K37" s="517">
        <f t="shared" si="10"/>
        <v>1.4710334179891267E-3</v>
      </c>
      <c r="L37" s="585"/>
      <c r="M37" s="585"/>
    </row>
    <row r="38" spans="2:13" x14ac:dyDescent="0.25">
      <c r="B38" s="195" t="s">
        <v>108</v>
      </c>
      <c r="C38" s="588" t="s">
        <v>25</v>
      </c>
      <c r="D38" s="605">
        <f>2853845/1000</f>
        <v>2853.8449999999998</v>
      </c>
      <c r="E38" s="515">
        <f>+D38/$D$54</f>
        <v>1.5214460886201341E-2</v>
      </c>
      <c r="F38" s="601">
        <v>6</v>
      </c>
      <c r="G38" s="515">
        <f t="shared" si="7"/>
        <v>9.852216748768473E-3</v>
      </c>
      <c r="H38" s="518">
        <f>+D38/F38</f>
        <v>475.64083333333332</v>
      </c>
      <c r="I38" s="61">
        <f>6679515728/1000</f>
        <v>6679515.7280000001</v>
      </c>
      <c r="J38" s="602">
        <f t="shared" si="9"/>
        <v>4.1790928957286338E-2</v>
      </c>
      <c r="K38" s="517">
        <f>D38/I38</f>
        <v>4.2725327946110042E-4</v>
      </c>
      <c r="L38" s="585"/>
      <c r="M38" s="585"/>
    </row>
    <row r="39" spans="2:13" x14ac:dyDescent="0.25">
      <c r="B39" s="195" t="s">
        <v>109</v>
      </c>
      <c r="C39" s="588" t="s">
        <v>26</v>
      </c>
      <c r="D39" s="605">
        <f>1517917/1000</f>
        <v>1517.9169999999999</v>
      </c>
      <c r="E39" s="515">
        <f t="shared" si="6"/>
        <v>8.0923416741273905E-3</v>
      </c>
      <c r="F39" s="601">
        <v>8</v>
      </c>
      <c r="G39" s="515">
        <f t="shared" si="7"/>
        <v>1.3136288998357963E-2</v>
      </c>
      <c r="H39" s="518">
        <f t="shared" ref="H39:H45" si="11">+D39/F39</f>
        <v>189.73962499999999</v>
      </c>
      <c r="I39" s="61">
        <f>747448465/1000</f>
        <v>747448.46499999997</v>
      </c>
      <c r="J39" s="602">
        <f t="shared" si="9"/>
        <v>4.6764716144175721E-3</v>
      </c>
      <c r="K39" s="517">
        <f t="shared" si="10"/>
        <v>2.0307982035925381E-3</v>
      </c>
      <c r="L39" s="585"/>
      <c r="M39" s="585"/>
    </row>
    <row r="40" spans="2:13" x14ac:dyDescent="0.25">
      <c r="B40" s="195" t="s">
        <v>110</v>
      </c>
      <c r="C40" s="588" t="s">
        <v>27</v>
      </c>
      <c r="D40" s="605">
        <f>905827/1000</f>
        <v>905.827</v>
      </c>
      <c r="E40" s="515">
        <f t="shared" si="6"/>
        <v>4.8291583674534193E-3</v>
      </c>
      <c r="F40" s="601">
        <v>15</v>
      </c>
      <c r="G40" s="515">
        <f t="shared" si="7"/>
        <v>2.4630541871921183E-2</v>
      </c>
      <c r="H40" s="518">
        <f t="shared" si="11"/>
        <v>60.388466666666666</v>
      </c>
      <c r="I40" s="61">
        <f>2775361900/1000</f>
        <v>2775361.9</v>
      </c>
      <c r="J40" s="602">
        <f t="shared" si="9"/>
        <v>1.7364275602714658E-2</v>
      </c>
      <c r="K40" s="517">
        <f t="shared" si="10"/>
        <v>3.2638157928160651E-4</v>
      </c>
      <c r="L40" s="585"/>
      <c r="M40" s="585"/>
    </row>
    <row r="41" spans="2:13" x14ac:dyDescent="0.25">
      <c r="B41" s="195" t="s">
        <v>111</v>
      </c>
      <c r="C41" s="588" t="s">
        <v>605</v>
      </c>
      <c r="D41" s="605">
        <f>(13742370+0+316614)/1000</f>
        <v>14058.984</v>
      </c>
      <c r="E41" s="515">
        <f t="shared" si="6"/>
        <v>7.495146448658932E-2</v>
      </c>
      <c r="F41" s="601">
        <f>40+4</f>
        <v>44</v>
      </c>
      <c r="G41" s="515">
        <f t="shared" si="7"/>
        <v>7.2249589490968796E-2</v>
      </c>
      <c r="H41" s="518">
        <f t="shared" si="11"/>
        <v>319.52236363636365</v>
      </c>
      <c r="I41" s="61">
        <f>(10272421845+814410540+10777757494)/1000</f>
        <v>21864589.879000001</v>
      </c>
      <c r="J41" s="602">
        <f t="shared" si="9"/>
        <v>0.1367975702913849</v>
      </c>
      <c r="K41" s="517">
        <f t="shared" si="10"/>
        <v>6.4300241064677141E-4</v>
      </c>
      <c r="L41" s="585"/>
      <c r="M41" s="585"/>
    </row>
    <row r="42" spans="2:13" x14ac:dyDescent="0.25">
      <c r="B42" s="195" t="s">
        <v>112</v>
      </c>
      <c r="C42" s="588" t="s">
        <v>29</v>
      </c>
      <c r="D42" s="605">
        <f>590322/1000</f>
        <v>590.322</v>
      </c>
      <c r="E42" s="515">
        <f t="shared" si="6"/>
        <v>3.1471334214942118E-3</v>
      </c>
      <c r="F42" s="601">
        <v>10</v>
      </c>
      <c r="G42" s="515">
        <f t="shared" si="7"/>
        <v>1.6420361247947456E-2</v>
      </c>
      <c r="H42" s="518">
        <f t="shared" si="11"/>
        <v>59.032200000000003</v>
      </c>
      <c r="I42" s="61">
        <f>4065913976/1000</f>
        <v>4065913.9759999998</v>
      </c>
      <c r="J42" s="602">
        <f t="shared" si="9"/>
        <v>2.5438718768962469E-2</v>
      </c>
      <c r="K42" s="517">
        <f t="shared" si="10"/>
        <v>1.4518802008220354E-4</v>
      </c>
      <c r="L42" s="585"/>
      <c r="M42" s="585"/>
    </row>
    <row r="43" spans="2:13" x14ac:dyDescent="0.25">
      <c r="B43" s="195" t="s">
        <v>76</v>
      </c>
      <c r="C43" s="588" t="s">
        <v>30</v>
      </c>
      <c r="D43" s="605">
        <f>196714/1000</f>
        <v>196.714</v>
      </c>
      <c r="E43" s="515">
        <f t="shared" si="6"/>
        <v>1.0487246009395082E-3</v>
      </c>
      <c r="F43" s="601">
        <v>1</v>
      </c>
      <c r="G43" s="515">
        <f t="shared" si="7"/>
        <v>1.6420361247947454E-3</v>
      </c>
      <c r="H43" s="518">
        <f t="shared" si="11"/>
        <v>196.714</v>
      </c>
      <c r="I43" s="61">
        <f>460699986/1000</f>
        <v>460699.98599999998</v>
      </c>
      <c r="J43" s="602">
        <f t="shared" si="9"/>
        <v>2.8824066249056686E-3</v>
      </c>
      <c r="K43" s="517">
        <f t="shared" si="10"/>
        <v>4.2698937698687061E-4</v>
      </c>
      <c r="L43" s="585"/>
      <c r="M43" s="585"/>
    </row>
    <row r="44" spans="2:13" x14ac:dyDescent="0.25">
      <c r="B44" s="195" t="s">
        <v>113</v>
      </c>
      <c r="C44" s="588" t="s">
        <v>606</v>
      </c>
      <c r="D44" s="605">
        <f>(5365549+11239223)/1000</f>
        <v>16604.772000000001</v>
      </c>
      <c r="E44" s="515">
        <f t="shared" si="6"/>
        <v>8.8523607315145442E-2</v>
      </c>
      <c r="F44" s="601">
        <f>22+ 43</f>
        <v>65</v>
      </c>
      <c r="G44" s="515">
        <f t="shared" si="7"/>
        <v>0.10673234811165845</v>
      </c>
      <c r="H44" s="518">
        <f t="shared" si="11"/>
        <v>255.45803076923079</v>
      </c>
      <c r="I44" s="61">
        <f>(232686362+4821261119)/1000</f>
        <v>5053947.4809999997</v>
      </c>
      <c r="J44" s="602">
        <f t="shared" si="9"/>
        <v>3.1620430093001382E-2</v>
      </c>
      <c r="K44" s="517">
        <f t="shared" si="10"/>
        <v>3.285505451416859E-3</v>
      </c>
      <c r="L44" s="585"/>
      <c r="M44" s="585"/>
    </row>
    <row r="45" spans="2:13" x14ac:dyDescent="0.25">
      <c r="B45" s="195" t="s">
        <v>114</v>
      </c>
      <c r="C45" s="588" t="s">
        <v>32</v>
      </c>
      <c r="D45" s="605">
        <f>8673890/1000</f>
        <v>8673.89</v>
      </c>
      <c r="E45" s="515">
        <f t="shared" si="6"/>
        <v>4.6242371304753047E-2</v>
      </c>
      <c r="F45" s="601">
        <v>10</v>
      </c>
      <c r="G45" s="515">
        <f t="shared" si="7"/>
        <v>1.6420361247947456E-2</v>
      </c>
      <c r="H45" s="518">
        <f t="shared" si="11"/>
        <v>867.3889999999999</v>
      </c>
      <c r="I45" s="61">
        <f>50911370107/1000</f>
        <v>50911370.107000001</v>
      </c>
      <c r="J45" s="602">
        <f t="shared" si="9"/>
        <v>0.31853109385473527</v>
      </c>
      <c r="K45" s="517">
        <f>D45/I45</f>
        <v>1.7037235457954003E-4</v>
      </c>
      <c r="L45" s="585"/>
      <c r="M45" s="585"/>
    </row>
    <row r="46" spans="2:13" x14ac:dyDescent="0.25">
      <c r="B46" s="195" t="s">
        <v>115</v>
      </c>
      <c r="C46" s="588" t="s">
        <v>33</v>
      </c>
      <c r="D46" s="605">
        <f>1237034/1000</f>
        <v>1237.0340000000001</v>
      </c>
      <c r="E46" s="515">
        <f t="shared" si="6"/>
        <v>6.5948940492217313E-3</v>
      </c>
      <c r="F46" s="601">
        <v>2</v>
      </c>
      <c r="G46" s="515">
        <f t="shared" si="7"/>
        <v>3.2840722495894909E-3</v>
      </c>
      <c r="H46" s="518" t="s">
        <v>128</v>
      </c>
      <c r="I46" s="61">
        <f>598880128/1000</f>
        <v>598880.12800000003</v>
      </c>
      <c r="J46" s="602">
        <f t="shared" si="9"/>
        <v>3.7469418296695043E-3</v>
      </c>
      <c r="K46" s="517">
        <f>D46/I46</f>
        <v>2.0655786394702348E-3</v>
      </c>
      <c r="L46" s="585"/>
      <c r="M46" s="585"/>
    </row>
    <row r="47" spans="2:13" x14ac:dyDescent="0.25">
      <c r="B47" s="195" t="s">
        <v>116</v>
      </c>
      <c r="C47" s="588" t="s">
        <v>608</v>
      </c>
      <c r="D47" s="605">
        <f xml:space="preserve"> (13310201+4082338+13265746+960710)/1000</f>
        <v>31618.994999999999</v>
      </c>
      <c r="E47" s="515">
        <f t="shared" si="6"/>
        <v>0.16856765615809399</v>
      </c>
      <c r="F47" s="601">
        <f>57+28+51+5</f>
        <v>141</v>
      </c>
      <c r="G47" s="515">
        <f t="shared" si="7"/>
        <v>0.23152709359605911</v>
      </c>
      <c r="H47" s="518">
        <f t="shared" ref="H47" si="12">+D47/F47</f>
        <v>224.24819148936169</v>
      </c>
      <c r="I47" s="61">
        <f>(887713455+557461740+61670037+1119283547)/1000</f>
        <v>2626128.7790000001</v>
      </c>
      <c r="J47" s="602">
        <f t="shared" si="9"/>
        <v>1.6430586543245598E-2</v>
      </c>
      <c r="K47" s="517">
        <f t="shared" ref="K47:K51" si="13">D47/I47</f>
        <v>1.2040154029323784E-2</v>
      </c>
      <c r="L47" s="585"/>
      <c r="M47" s="585"/>
    </row>
    <row r="48" spans="2:13" x14ac:dyDescent="0.25">
      <c r="B48" s="195" t="s">
        <v>117</v>
      </c>
      <c r="C48" s="588" t="s">
        <v>35</v>
      </c>
      <c r="D48" s="605">
        <v>0</v>
      </c>
      <c r="E48" s="515">
        <f t="shared" si="6"/>
        <v>0</v>
      </c>
      <c r="F48" s="601">
        <v>0</v>
      </c>
      <c r="G48" s="515">
        <f t="shared" si="7"/>
        <v>0</v>
      </c>
      <c r="H48" s="518" t="s">
        <v>128</v>
      </c>
      <c r="I48" s="61">
        <v>0</v>
      </c>
      <c r="J48" s="602">
        <f t="shared" si="9"/>
        <v>0</v>
      </c>
      <c r="K48" s="517" t="s">
        <v>128</v>
      </c>
      <c r="L48" s="585"/>
      <c r="M48" s="585"/>
    </row>
    <row r="49" spans="2:13" x14ac:dyDescent="0.25">
      <c r="B49" s="195" t="s">
        <v>118</v>
      </c>
      <c r="C49" s="588" t="s">
        <v>36</v>
      </c>
      <c r="D49" s="605">
        <v>0</v>
      </c>
      <c r="E49" s="515">
        <f t="shared" si="6"/>
        <v>0</v>
      </c>
      <c r="F49" s="601">
        <v>0</v>
      </c>
      <c r="G49" s="515">
        <f>+F49/$F$54</f>
        <v>0</v>
      </c>
      <c r="H49" s="518" t="s">
        <v>128</v>
      </c>
      <c r="I49" s="61">
        <v>0</v>
      </c>
      <c r="J49" s="602">
        <f t="shared" si="9"/>
        <v>0</v>
      </c>
      <c r="K49" s="517" t="s">
        <v>128</v>
      </c>
      <c r="L49" s="585"/>
      <c r="M49" s="585"/>
    </row>
    <row r="50" spans="2:13" x14ac:dyDescent="0.25">
      <c r="B50" s="195" t="s">
        <v>119</v>
      </c>
      <c r="C50" s="588" t="s">
        <v>37</v>
      </c>
      <c r="D50" s="605">
        <f>1756729/1000</f>
        <v>1756.729</v>
      </c>
      <c r="E50" s="515">
        <f t="shared" si="6"/>
        <v>9.3654997584506506E-3</v>
      </c>
      <c r="F50" s="601">
        <v>8</v>
      </c>
      <c r="G50" s="515">
        <f t="shared" si="7"/>
        <v>1.3136288998357963E-2</v>
      </c>
      <c r="H50" s="518">
        <f t="shared" ref="H50:H51" si="14">+D50/F50</f>
        <v>219.59112500000001</v>
      </c>
      <c r="I50" s="61">
        <f>992558917/1000</f>
        <v>992558.91700000002</v>
      </c>
      <c r="J50" s="602">
        <f t="shared" si="9"/>
        <v>6.2100249292605702E-3</v>
      </c>
      <c r="K50" s="517">
        <f t="shared" si="13"/>
        <v>1.7698989651009302E-3</v>
      </c>
      <c r="L50" s="585"/>
      <c r="M50" s="585"/>
    </row>
    <row r="51" spans="2:13" x14ac:dyDescent="0.25">
      <c r="B51" s="195" t="s">
        <v>120</v>
      </c>
      <c r="C51" s="588" t="s">
        <v>38</v>
      </c>
      <c r="D51" s="605">
        <f>(683050+1089261)/1000</f>
        <v>1772.3109999999999</v>
      </c>
      <c r="E51" s="515">
        <f t="shared" si="6"/>
        <v>9.4485707484759634E-3</v>
      </c>
      <c r="F51" s="601">
        <f>2+9</f>
        <v>11</v>
      </c>
      <c r="G51" s="515">
        <f t="shared" si="7"/>
        <v>1.8062397372742199E-2</v>
      </c>
      <c r="H51" s="518">
        <f t="shared" si="14"/>
        <v>161.1191818181818</v>
      </c>
      <c r="I51" s="61">
        <f>(200808270+63400036)/1000</f>
        <v>264208.30599999998</v>
      </c>
      <c r="J51" s="602">
        <f t="shared" si="9"/>
        <v>1.6530405789278754E-3</v>
      </c>
      <c r="K51" s="517">
        <f t="shared" si="13"/>
        <v>6.7080063713061315E-3</v>
      </c>
      <c r="L51" s="585"/>
      <c r="M51" s="585"/>
    </row>
    <row r="52" spans="2:13" x14ac:dyDescent="0.25">
      <c r="B52" s="195" t="s">
        <v>121</v>
      </c>
      <c r="C52" s="588" t="s">
        <v>39</v>
      </c>
      <c r="D52" s="605">
        <v>0</v>
      </c>
      <c r="E52" s="515">
        <f t="shared" si="6"/>
        <v>0</v>
      </c>
      <c r="F52" s="601">
        <v>0</v>
      </c>
      <c r="G52" s="515">
        <f t="shared" si="7"/>
        <v>0</v>
      </c>
      <c r="H52" s="518" t="s">
        <v>128</v>
      </c>
      <c r="I52" s="61">
        <v>0</v>
      </c>
      <c r="J52" s="602">
        <f t="shared" si="9"/>
        <v>0</v>
      </c>
      <c r="K52" s="517" t="s">
        <v>128</v>
      </c>
      <c r="L52" s="585"/>
      <c r="M52" s="585"/>
    </row>
    <row r="53" spans="2:13" x14ac:dyDescent="0.25">
      <c r="B53" s="196" t="s">
        <v>122</v>
      </c>
      <c r="C53" s="588" t="s">
        <v>40</v>
      </c>
      <c r="D53" s="571">
        <v>0</v>
      </c>
      <c r="E53" s="515">
        <f t="shared" si="6"/>
        <v>0</v>
      </c>
      <c r="F53" s="601">
        <v>0</v>
      </c>
      <c r="G53" s="515">
        <f t="shared" si="7"/>
        <v>0</v>
      </c>
      <c r="H53" s="519" t="s">
        <v>128</v>
      </c>
      <c r="I53" s="61">
        <v>0</v>
      </c>
      <c r="J53" s="603">
        <f t="shared" si="9"/>
        <v>0</v>
      </c>
      <c r="K53" s="517" t="s">
        <v>128</v>
      </c>
      <c r="L53" s="585"/>
      <c r="M53" s="585"/>
    </row>
    <row r="54" spans="2:13" x14ac:dyDescent="0.25">
      <c r="B54" s="196"/>
      <c r="C54" s="505" t="s">
        <v>8</v>
      </c>
      <c r="D54" s="190">
        <f>SUM(D35:D53)</f>
        <v>187574.50700000001</v>
      </c>
      <c r="E54" s="596">
        <f>+D54/D54</f>
        <v>1</v>
      </c>
      <c r="F54" s="522">
        <f>SUM(F35:F53)</f>
        <v>609</v>
      </c>
      <c r="G54" s="521">
        <f>+F54/F54</f>
        <v>1</v>
      </c>
      <c r="H54" s="522">
        <f t="shared" ref="H54" si="15">+D54/F54</f>
        <v>308.00411658456488</v>
      </c>
      <c r="I54" s="190">
        <f>SUM(I35:I53)</f>
        <v>159831712.16000003</v>
      </c>
      <c r="J54" s="523">
        <f>I54/I54</f>
        <v>1</v>
      </c>
      <c r="K54" s="524">
        <f>D54/I54</f>
        <v>1.1735750337969724E-3</v>
      </c>
      <c r="L54" s="585"/>
      <c r="M54" s="585"/>
    </row>
    <row r="55" spans="2:13" x14ac:dyDescent="0.25">
      <c r="B55" s="170"/>
      <c r="C55" s="78" t="s">
        <v>264</v>
      </c>
      <c r="D55" s="78"/>
      <c r="E55" s="78"/>
      <c r="F55" s="31"/>
      <c r="G55" s="589"/>
      <c r="H55" s="31"/>
      <c r="I55" s="31"/>
      <c r="J55" s="31"/>
      <c r="K55" s="31"/>
      <c r="L55" s="585"/>
      <c r="M55" s="585"/>
    </row>
    <row r="56" spans="2:13" x14ac:dyDescent="0.25">
      <c r="B56" s="170"/>
      <c r="C56" s="78" t="s">
        <v>604</v>
      </c>
      <c r="D56" s="78"/>
      <c r="E56" s="170"/>
      <c r="F56" s="590"/>
      <c r="G56" s="591"/>
      <c r="H56" s="170"/>
      <c r="I56" s="170"/>
      <c r="J56" s="170"/>
      <c r="K56" s="170"/>
    </row>
    <row r="57" spans="2:13" x14ac:dyDescent="0.25">
      <c r="B57" s="170"/>
      <c r="C57" s="78" t="s">
        <v>607</v>
      </c>
      <c r="D57" s="78"/>
      <c r="E57" s="170"/>
      <c r="F57" s="590"/>
      <c r="G57" s="591"/>
      <c r="H57" s="170"/>
      <c r="I57" s="170"/>
      <c r="J57" s="170"/>
      <c r="K57" s="170"/>
    </row>
    <row r="58" spans="2:13" x14ac:dyDescent="0.25">
      <c r="B58" s="170"/>
      <c r="C58" s="231" t="s">
        <v>609</v>
      </c>
      <c r="D58" s="170"/>
      <c r="E58" s="170"/>
      <c r="F58" s="170"/>
      <c r="G58" s="170"/>
      <c r="H58" s="170"/>
      <c r="I58" s="170"/>
      <c r="J58" s="170"/>
      <c r="K58" s="170"/>
    </row>
    <row r="59" spans="2:13" x14ac:dyDescent="0.25">
      <c r="B59" s="139"/>
    </row>
    <row r="60" spans="2:13" x14ac:dyDescent="0.25">
      <c r="B60" s="139"/>
      <c r="C60" s="139"/>
      <c r="D60" s="139"/>
    </row>
    <row r="61" spans="2:13" x14ac:dyDescent="0.25">
      <c r="B61" s="139"/>
    </row>
    <row r="62" spans="2:13" x14ac:dyDescent="0.25">
      <c r="B62" s="139"/>
    </row>
    <row r="63" spans="2:13" x14ac:dyDescent="0.25">
      <c r="B63" s="139"/>
    </row>
    <row r="64" spans="2:13" x14ac:dyDescent="0.25">
      <c r="B64" s="139"/>
    </row>
    <row r="65" spans="2:2" x14ac:dyDescent="0.25">
      <c r="B65" s="139"/>
    </row>
    <row r="66" spans="2:2" x14ac:dyDescent="0.25">
      <c r="B66" s="139"/>
    </row>
  </sheetData>
  <sheetProtection password="C69F" sheet="1" objects="1" scenarios="1"/>
  <mergeCells count="10">
    <mergeCell ref="C33:C34"/>
    <mergeCell ref="D33:E33"/>
    <mergeCell ref="F33:G33"/>
    <mergeCell ref="I33:J33"/>
    <mergeCell ref="K33:K34"/>
    <mergeCell ref="K6:K7"/>
    <mergeCell ref="C6:C7"/>
    <mergeCell ref="I6:J6"/>
    <mergeCell ref="D6:E6"/>
    <mergeCell ref="F6:G6"/>
  </mergeCells>
  <hyperlinks>
    <hyperlink ref="A1" location="ÍNDICE!A1" display="ÍNDICE"/>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J59"/>
  <sheetViews>
    <sheetView zoomScale="90" zoomScaleNormal="90" workbookViewId="0"/>
  </sheetViews>
  <sheetFormatPr baseColWidth="10" defaultRowHeight="15" x14ac:dyDescent="0.25"/>
  <cols>
    <col min="3" max="3" width="85" bestFit="1" customWidth="1"/>
    <col min="4" max="4" width="20.42578125" customWidth="1"/>
    <col min="5" max="5" width="22.7109375" customWidth="1"/>
    <col min="6" max="6" width="14.85546875" customWidth="1"/>
    <col min="7" max="7" width="14.28515625" style="204" customWidth="1"/>
    <col min="8" max="8" width="18.85546875" customWidth="1"/>
    <col min="9" max="18" width="14.85546875" customWidth="1"/>
    <col min="20" max="20" width="15" bestFit="1" customWidth="1"/>
    <col min="21" max="21" width="12.7109375" bestFit="1" customWidth="1"/>
    <col min="22" max="22" width="11" bestFit="1" customWidth="1"/>
    <col min="23" max="23" width="15" bestFit="1" customWidth="1"/>
    <col min="24" max="24" width="12.7109375" bestFit="1" customWidth="1"/>
    <col min="25" max="25" width="19.85546875" customWidth="1"/>
    <col min="26" max="26" width="15" bestFit="1" customWidth="1"/>
    <col min="27" max="27" width="12.7109375" bestFit="1" customWidth="1"/>
    <col min="28" max="29" width="12" bestFit="1" customWidth="1"/>
    <col min="30" max="30" width="14.7109375" bestFit="1" customWidth="1"/>
    <col min="31" max="31" width="12" bestFit="1" customWidth="1"/>
  </cols>
  <sheetData>
    <row r="1" spans="1:31" s="54" customFormat="1" x14ac:dyDescent="0.25">
      <c r="A1" s="59" t="s">
        <v>132</v>
      </c>
      <c r="G1" s="204"/>
    </row>
    <row r="2" spans="1:31" x14ac:dyDescent="0.25">
      <c r="A2" s="1" t="s">
        <v>623</v>
      </c>
    </row>
    <row r="3" spans="1:31" s="37" customFormat="1" x14ac:dyDescent="0.25">
      <c r="A3" s="1"/>
      <c r="G3" s="204"/>
    </row>
    <row r="4" spans="1:31" s="36" customFormat="1" x14ac:dyDescent="0.25">
      <c r="A4" s="58" t="s">
        <v>103</v>
      </c>
      <c r="B4" s="36" t="s">
        <v>593</v>
      </c>
      <c r="G4" s="204"/>
    </row>
    <row r="7" spans="1:31" ht="24" customHeight="1" x14ac:dyDescent="0.25">
      <c r="B7" s="125"/>
      <c r="C7" s="651" t="s">
        <v>273</v>
      </c>
      <c r="D7" s="664" t="s">
        <v>285</v>
      </c>
      <c r="E7" s="655" t="s">
        <v>299</v>
      </c>
      <c r="F7" s="649"/>
      <c r="G7" s="649" t="s">
        <v>437</v>
      </c>
      <c r="H7" s="649" t="s">
        <v>300</v>
      </c>
      <c r="J7" s="658" t="s">
        <v>281</v>
      </c>
      <c r="K7" s="644"/>
      <c r="L7" s="644"/>
      <c r="M7" s="644"/>
      <c r="N7" s="644"/>
      <c r="O7" s="644"/>
      <c r="P7" s="644"/>
      <c r="Q7" s="644"/>
      <c r="R7" s="644"/>
      <c r="S7" s="644"/>
      <c r="T7" s="644"/>
      <c r="U7" s="113"/>
      <c r="V7" s="246"/>
      <c r="X7" s="666" t="s">
        <v>476</v>
      </c>
      <c r="Y7" s="666"/>
      <c r="Z7" s="666"/>
      <c r="AA7" s="666"/>
      <c r="AB7" s="666"/>
      <c r="AC7" s="666"/>
      <c r="AD7" s="666"/>
      <c r="AE7" s="113"/>
    </row>
    <row r="8" spans="1:31" ht="36" customHeight="1" thickBot="1" x14ac:dyDescent="0.3">
      <c r="B8" s="126"/>
      <c r="C8" s="652"/>
      <c r="D8" s="665"/>
      <c r="E8" s="123" t="s">
        <v>601</v>
      </c>
      <c r="F8" s="124" t="s">
        <v>9</v>
      </c>
      <c r="G8" s="650"/>
      <c r="H8" s="650"/>
      <c r="J8" s="92"/>
      <c r="K8" s="658">
        <v>2009</v>
      </c>
      <c r="L8" s="659"/>
      <c r="M8" s="658">
        <v>2010</v>
      </c>
      <c r="N8" s="659"/>
      <c r="O8" s="658">
        <v>2011</v>
      </c>
      <c r="P8" s="659"/>
      <c r="Q8" s="658">
        <v>2012</v>
      </c>
      <c r="R8" s="659"/>
      <c r="S8" s="644">
        <v>2013</v>
      </c>
      <c r="T8" s="644"/>
      <c r="U8" s="658" t="s">
        <v>447</v>
      </c>
      <c r="V8" s="659"/>
      <c r="X8" s="7"/>
      <c r="Y8" s="7"/>
      <c r="Z8" s="160">
        <v>2009</v>
      </c>
      <c r="AA8" s="160">
        <v>2010</v>
      </c>
      <c r="AB8" s="160">
        <v>2011</v>
      </c>
      <c r="AC8" s="160">
        <v>2012</v>
      </c>
      <c r="AD8" s="160">
        <v>2013</v>
      </c>
      <c r="AE8" s="160" t="s">
        <v>447</v>
      </c>
    </row>
    <row r="9" spans="1:31" ht="16.5" thickTop="1" thickBot="1" x14ac:dyDescent="0.3">
      <c r="B9" s="106" t="s">
        <v>105</v>
      </c>
      <c r="C9" s="24" t="s">
        <v>22</v>
      </c>
      <c r="D9" s="518">
        <v>25558.243999999999</v>
      </c>
      <c r="E9" s="189">
        <f xml:space="preserve"> (2283951839+ 376734321)/1000</f>
        <v>2660686.16</v>
      </c>
      <c r="F9" s="626">
        <f>E9/$E$28</f>
        <v>7.5045699385031986E-2</v>
      </c>
      <c r="G9" s="517">
        <f>E9/B.1!I8</f>
        <v>0.45876451773294968</v>
      </c>
      <c r="H9" s="525">
        <f>D9/E9</f>
        <v>9.6058845211567517E-3</v>
      </c>
      <c r="J9" s="194"/>
      <c r="K9" s="183" t="s">
        <v>282</v>
      </c>
      <c r="L9" s="184" t="s">
        <v>9</v>
      </c>
      <c r="M9" s="183" t="s">
        <v>282</v>
      </c>
      <c r="N9" s="184" t="s">
        <v>9</v>
      </c>
      <c r="O9" s="183" t="s">
        <v>282</v>
      </c>
      <c r="P9" s="184" t="s">
        <v>9</v>
      </c>
      <c r="Q9" s="183" t="s">
        <v>282</v>
      </c>
      <c r="R9" s="184" t="s">
        <v>9</v>
      </c>
      <c r="S9" s="160" t="s">
        <v>282</v>
      </c>
      <c r="T9" s="160" t="s">
        <v>9</v>
      </c>
      <c r="U9" s="183" t="s">
        <v>282</v>
      </c>
      <c r="V9" s="184" t="s">
        <v>9</v>
      </c>
      <c r="X9" s="661" t="s">
        <v>271</v>
      </c>
      <c r="Y9" s="661"/>
      <c r="Z9" s="528">
        <f>(86838292.27)*'ANEXO 1'!E6</f>
        <v>102171329.53611389</v>
      </c>
      <c r="AA9" s="528">
        <f>(92538710.3)*'ANEXO 1'!F6</f>
        <v>105734730.38878</v>
      </c>
      <c r="AB9" s="528">
        <f>(150739579.0419)*'ANEXO 1'!G6</f>
        <v>164916636.4507907</v>
      </c>
      <c r="AC9" s="528">
        <f>(164547946.5986)*'ANEXO 1'!H6</f>
        <v>177387622.87168875</v>
      </c>
      <c r="AD9" s="528">
        <f>(159831712.16)*'ANEXO 1'!I6</f>
        <v>167259091.82407519</v>
      </c>
      <c r="AE9" s="528">
        <v>156655079.00400001</v>
      </c>
    </row>
    <row r="10" spans="1:31" ht="15.75" thickTop="1" x14ac:dyDescent="0.25">
      <c r="B10" s="94" t="s">
        <v>106</v>
      </c>
      <c r="C10" s="24" t="s">
        <v>23</v>
      </c>
      <c r="D10" s="518">
        <v>19348.482</v>
      </c>
      <c r="E10" s="189">
        <f>22083695.949</f>
        <v>22083695.949000001</v>
      </c>
      <c r="F10" s="627">
        <f t="shared" ref="F10:F27" si="0">E10/$E$28</f>
        <v>0.62287932805239332</v>
      </c>
      <c r="G10" s="517">
        <f>E10/B.1!I9</f>
        <v>0.882074325193968</v>
      </c>
      <c r="H10" s="525">
        <f t="shared" ref="H10:H24" si="1">D10/E10</f>
        <v>8.7614328890794847E-4</v>
      </c>
      <c r="J10" s="195" t="s">
        <v>10</v>
      </c>
      <c r="K10" s="189">
        <v>580</v>
      </c>
      <c r="L10" s="185">
        <f>K10/$K$12</f>
        <v>0.6345733041575492</v>
      </c>
      <c r="M10" s="189">
        <v>570</v>
      </c>
      <c r="N10" s="185">
        <f>M10/$M$12</f>
        <v>0.62363238512035013</v>
      </c>
      <c r="O10" s="189">
        <v>1389</v>
      </c>
      <c r="P10" s="185">
        <f>O10/$O$12</f>
        <v>0.67394468704512378</v>
      </c>
      <c r="Q10" s="189">
        <v>1361</v>
      </c>
      <c r="R10" s="185">
        <f>Q10/$Q$12</f>
        <v>0.66035904900533726</v>
      </c>
      <c r="S10" s="162">
        <f>S12-S11</f>
        <v>1472</v>
      </c>
      <c r="T10" s="526">
        <f>S10/$S$12</f>
        <v>0.65451311694086256</v>
      </c>
      <c r="U10" s="189">
        <f>U12-U11</f>
        <v>1512</v>
      </c>
      <c r="V10" s="185">
        <f>U10/$S$12</f>
        <v>0.67229879946642956</v>
      </c>
      <c r="X10" s="662" t="s">
        <v>283</v>
      </c>
      <c r="Y10" s="662"/>
      <c r="Z10" s="529">
        <f>(13728694.425)*'ANEXO 1'!E6</f>
        <v>16152769.99962225</v>
      </c>
      <c r="AA10" s="529">
        <f>(18747639.497)*'ANEXO 1'!F6</f>
        <v>21421052.889272202</v>
      </c>
      <c r="AB10" s="529">
        <f>(23304847.1824)*'ANEXO 1'!G6</f>
        <v>25496668.059904717</v>
      </c>
      <c r="AC10" s="529">
        <f>(23146605.3445)*'ANEXO 1'!H6</f>
        <v>24952734.959531337</v>
      </c>
      <c r="AD10" s="529">
        <f>(31794249.745)*'ANEXO 1'!I6</f>
        <v>33271728.53065015</v>
      </c>
      <c r="AE10" s="61">
        <v>35454212.324000001</v>
      </c>
    </row>
    <row r="11" spans="1:31" x14ac:dyDescent="0.25">
      <c r="B11" s="94" t="s">
        <v>107</v>
      </c>
      <c r="C11" s="24" t="s">
        <v>24</v>
      </c>
      <c r="D11" s="518">
        <v>56238.847999999998</v>
      </c>
      <c r="E11" s="189">
        <f xml:space="preserve">  (5153441296+1318140475+737943492)/1000</f>
        <v>7209525.2630000003</v>
      </c>
      <c r="F11" s="627">
        <f t="shared" si="0"/>
        <v>0.20334749499200297</v>
      </c>
      <c r="G11" s="517">
        <f>E11/B.1!I10</f>
        <v>0.2377463633857278</v>
      </c>
      <c r="H11" s="525">
        <f t="shared" si="1"/>
        <v>7.8006312410920245E-3</v>
      </c>
      <c r="J11" s="196" t="s">
        <v>11</v>
      </c>
      <c r="K11" s="193">
        <v>334</v>
      </c>
      <c r="L11" s="185">
        <f>K11/$K$12</f>
        <v>0.36542669584245074</v>
      </c>
      <c r="M11" s="193">
        <v>344</v>
      </c>
      <c r="N11" s="185">
        <f>M11/$M$12</f>
        <v>0.37636761487964987</v>
      </c>
      <c r="O11" s="193">
        <v>672</v>
      </c>
      <c r="P11" s="185">
        <f>O11/$O$12</f>
        <v>0.32605531295487628</v>
      </c>
      <c r="Q11" s="193">
        <v>700</v>
      </c>
      <c r="R11" s="185">
        <f>Q11/$Q$12</f>
        <v>0.33964095099466279</v>
      </c>
      <c r="S11" s="509">
        <v>777</v>
      </c>
      <c r="T11" s="526">
        <f>S11/$S$12</f>
        <v>0.34548688305913738</v>
      </c>
      <c r="U11" s="527">
        <v>792</v>
      </c>
      <c r="V11" s="185">
        <f>U11/$S$12</f>
        <v>0.352156514006225</v>
      </c>
      <c r="X11" s="662" t="s">
        <v>272</v>
      </c>
      <c r="Y11" s="662"/>
      <c r="Z11" s="529">
        <f>(99801.69)*'ANEXO 1'!E6</f>
        <v>117423.67440329998</v>
      </c>
      <c r="AA11" s="529">
        <f>(108821.457)*'ANEXO 1'!F6</f>
        <v>124339.39676820001</v>
      </c>
      <c r="AB11" s="529">
        <f>(145976.2)*'ANEXO 1'!G6</f>
        <v>159705.26161000002</v>
      </c>
      <c r="AC11" s="529">
        <f>(162045.776)*'ANEXO 1'!H6</f>
        <v>174690.20790128002</v>
      </c>
      <c r="AD11" s="529">
        <f>(187574.507)*'ANEXO 1'!I6</f>
        <v>196291.09434029</v>
      </c>
      <c r="AE11" s="61">
        <v>189716.52600000001</v>
      </c>
    </row>
    <row r="12" spans="1:31" x14ac:dyDescent="0.25">
      <c r="B12" s="94" t="s">
        <v>108</v>
      </c>
      <c r="C12" s="24" t="s">
        <v>25</v>
      </c>
      <c r="D12" s="518">
        <v>1419.079</v>
      </c>
      <c r="E12" s="189">
        <f>0</f>
        <v>0</v>
      </c>
      <c r="F12" s="627">
        <f t="shared" si="0"/>
        <v>0</v>
      </c>
      <c r="G12" s="517">
        <f>E12/B.1!I11</f>
        <v>0</v>
      </c>
      <c r="H12" s="525" t="s">
        <v>128</v>
      </c>
      <c r="J12" s="88" t="s">
        <v>2</v>
      </c>
      <c r="K12" s="190">
        <v>914</v>
      </c>
      <c r="L12" s="186">
        <v>1</v>
      </c>
      <c r="M12" s="190">
        <v>914</v>
      </c>
      <c r="N12" s="186">
        <v>1</v>
      </c>
      <c r="O12" s="190">
        <v>2061</v>
      </c>
      <c r="P12" s="186">
        <v>1</v>
      </c>
      <c r="Q12" s="190">
        <v>2061</v>
      </c>
      <c r="R12" s="186">
        <v>1</v>
      </c>
      <c r="S12" s="168">
        <v>2249</v>
      </c>
      <c r="T12" s="177">
        <v>1</v>
      </c>
      <c r="U12" s="190">
        <v>2304</v>
      </c>
      <c r="V12" s="186">
        <v>1</v>
      </c>
      <c r="X12" s="662" t="s">
        <v>284</v>
      </c>
      <c r="Y12" s="662"/>
      <c r="Z12" s="530">
        <v>1.1492820435677596E-3</v>
      </c>
      <c r="AA12" s="530">
        <v>1.1759560582507926E-3</v>
      </c>
      <c r="AB12" s="530">
        <v>9.6839994464508806E-4</v>
      </c>
      <c r="AC12" s="530">
        <v>9.8479366865206891E-4</v>
      </c>
      <c r="AD12" s="530">
        <v>1.1735750337969727E-3</v>
      </c>
      <c r="AE12" s="530">
        <f>AE11/AE9</f>
        <v>1.2110461225145201E-3</v>
      </c>
    </row>
    <row r="13" spans="1:31" x14ac:dyDescent="0.25">
      <c r="B13" s="94" t="s">
        <v>109</v>
      </c>
      <c r="C13" s="24" t="s">
        <v>26</v>
      </c>
      <c r="D13" s="518">
        <v>1190.3499999999999</v>
      </c>
      <c r="E13" s="189">
        <f>511.126</f>
        <v>511.12599999999998</v>
      </c>
      <c r="F13" s="627">
        <f t="shared" si="0"/>
        <v>1.4416509816352731E-5</v>
      </c>
      <c r="G13" s="517">
        <f>E13/B.1!I12</f>
        <v>5.1238757198603991E-4</v>
      </c>
      <c r="H13" s="525">
        <f t="shared" si="1"/>
        <v>2.3288778109507242</v>
      </c>
      <c r="R13" s="16"/>
      <c r="X13" s="663" t="s">
        <v>300</v>
      </c>
      <c r="Y13" s="663"/>
      <c r="Z13" s="531">
        <v>7.2695688978451417E-3</v>
      </c>
      <c r="AA13" s="531">
        <v>5.8045417940436519E-3</v>
      </c>
      <c r="AB13" s="531">
        <v>6.2637698869032849E-3</v>
      </c>
      <c r="AC13" s="531">
        <v>7.0008441232832733E-3</v>
      </c>
      <c r="AD13" s="531">
        <v>5.8996362079434877E-3</v>
      </c>
      <c r="AE13" s="531">
        <f>AE11/AE10</f>
        <v>5.3510292166771764E-3</v>
      </c>
    </row>
    <row r="14" spans="1:31" x14ac:dyDescent="0.25">
      <c r="B14" s="94" t="s">
        <v>110</v>
      </c>
      <c r="C14" s="24" t="s">
        <v>27</v>
      </c>
      <c r="D14" s="518">
        <v>1190.365</v>
      </c>
      <c r="E14" s="189">
        <f>1122.484</f>
        <v>1122.4839999999999</v>
      </c>
      <c r="F14" s="627">
        <f t="shared" si="0"/>
        <v>3.1660102606204496E-5</v>
      </c>
      <c r="G14" s="517">
        <f>E14/B.1!I13</f>
        <v>4.5555669154818447E-4</v>
      </c>
      <c r="H14" s="525">
        <f t="shared" si="1"/>
        <v>1.0604739132139078</v>
      </c>
      <c r="J14" s="64"/>
      <c r="K14" s="64"/>
      <c r="L14" s="64"/>
      <c r="M14" s="64"/>
      <c r="N14" s="64"/>
      <c r="O14" s="64"/>
      <c r="P14" s="64"/>
      <c r="Q14" s="64"/>
      <c r="R14" s="16"/>
      <c r="S14" s="64"/>
      <c r="T14" s="64"/>
      <c r="U14" s="64"/>
      <c r="V14" s="64"/>
      <c r="W14" s="64"/>
      <c r="X14" s="54"/>
      <c r="Y14" s="54"/>
      <c r="Z14" s="85"/>
      <c r="AA14" s="85"/>
      <c r="AB14" s="85"/>
      <c r="AC14" s="85"/>
      <c r="AD14" s="85"/>
    </row>
    <row r="15" spans="1:31" x14ac:dyDescent="0.25">
      <c r="B15" s="94" t="s">
        <v>111</v>
      </c>
      <c r="C15" s="24" t="s">
        <v>28</v>
      </c>
      <c r="D15" s="518">
        <v>21841.870999999999</v>
      </c>
      <c r="E15" s="189">
        <f>(16819083+1187318080+ 1227443)/1000</f>
        <v>1205364.6059999999</v>
      </c>
      <c r="F15" s="627">
        <f t="shared" si="0"/>
        <v>3.3997782688971294E-2</v>
      </c>
      <c r="G15" s="517">
        <f>E15/B.1!I14</f>
        <v>4.7000591138107263E-2</v>
      </c>
      <c r="H15" s="525">
        <f t="shared" si="1"/>
        <v>1.8120551152138276E-2</v>
      </c>
      <c r="J15" s="64"/>
      <c r="K15" s="64"/>
      <c r="L15" s="64"/>
      <c r="M15" s="64"/>
      <c r="N15" s="64"/>
      <c r="O15" s="64"/>
      <c r="P15" s="64"/>
      <c r="Q15" s="64"/>
      <c r="R15" s="16"/>
      <c r="S15" s="64"/>
      <c r="T15" s="64"/>
      <c r="U15" s="64"/>
      <c r="V15" s="64"/>
      <c r="W15" s="64"/>
      <c r="X15" s="64"/>
      <c r="Y15" s="64"/>
      <c r="Z15" s="64"/>
      <c r="AA15" s="64"/>
      <c r="AB15" s="64"/>
    </row>
    <row r="16" spans="1:31" x14ac:dyDescent="0.25">
      <c r="B16" s="94" t="s">
        <v>112</v>
      </c>
      <c r="C16" s="24" t="s">
        <v>29</v>
      </c>
      <c r="D16" s="518">
        <v>3088.9870000000001</v>
      </c>
      <c r="E16" s="189">
        <f xml:space="preserve"> 1535884.989</f>
        <v>1535884.9890000001</v>
      </c>
      <c r="F16" s="627">
        <f t="shared" si="0"/>
        <v>4.332024005960821E-2</v>
      </c>
      <c r="G16" s="517">
        <f>E16/B.1!I15</f>
        <v>0.32303951434822703</v>
      </c>
      <c r="H16" s="525">
        <f t="shared" si="1"/>
        <v>2.0112098380564354E-3</v>
      </c>
      <c r="J16" s="64"/>
      <c r="K16" s="64"/>
      <c r="L16" s="64"/>
      <c r="M16" s="64"/>
      <c r="N16" s="64"/>
      <c r="O16" s="64"/>
      <c r="P16" s="64"/>
      <c r="Q16" s="64"/>
      <c r="R16" s="16"/>
      <c r="S16" s="64"/>
      <c r="T16" s="64"/>
      <c r="U16" s="64"/>
      <c r="V16" s="64"/>
      <c r="W16" s="64"/>
      <c r="X16" s="64"/>
      <c r="Y16" s="64"/>
      <c r="Z16" s="64"/>
      <c r="AA16" s="64"/>
      <c r="AB16" s="64"/>
    </row>
    <row r="17" spans="2:36" x14ac:dyDescent="0.25">
      <c r="B17" s="94" t="s">
        <v>76</v>
      </c>
      <c r="C17" s="24" t="s">
        <v>30</v>
      </c>
      <c r="D17" s="518">
        <v>169.06800000000001</v>
      </c>
      <c r="E17" s="189">
        <f xml:space="preserve"> 23171.464</f>
        <v>23171.464</v>
      </c>
      <c r="F17" s="627">
        <f t="shared" si="0"/>
        <v>6.5356025366595301E-4</v>
      </c>
      <c r="G17" s="517">
        <f>E17/B.1!I16</f>
        <v>8.7352354631681131E-2</v>
      </c>
      <c r="H17" s="525">
        <f t="shared" si="1"/>
        <v>7.2963883507749022E-3</v>
      </c>
      <c r="J17" s="658" t="s">
        <v>477</v>
      </c>
      <c r="K17" s="644"/>
      <c r="L17" s="644"/>
      <c r="M17" s="644"/>
      <c r="N17" s="644"/>
      <c r="O17" s="644"/>
      <c r="P17" s="644"/>
      <c r="Q17" s="644"/>
      <c r="R17" s="644"/>
      <c r="S17" s="644"/>
      <c r="T17" s="644"/>
      <c r="U17" s="644"/>
      <c r="V17" s="644"/>
      <c r="W17" s="644"/>
      <c r="X17" s="644"/>
      <c r="Y17" s="644"/>
      <c r="Z17" s="113"/>
      <c r="AA17" s="113"/>
      <c r="AB17" s="246"/>
      <c r="AD17" s="656" t="s">
        <v>378</v>
      </c>
      <c r="AE17" s="656"/>
      <c r="AF17" s="656"/>
      <c r="AG17" s="656"/>
      <c r="AH17" s="656"/>
      <c r="AI17" s="656"/>
      <c r="AJ17" s="75"/>
    </row>
    <row r="18" spans="2:36" x14ac:dyDescent="0.25">
      <c r="B18" s="94" t="s">
        <v>113</v>
      </c>
      <c r="C18" s="24" t="s">
        <v>31</v>
      </c>
      <c r="D18" s="518">
        <v>10372.34</v>
      </c>
      <c r="E18" s="189">
        <f>(63229673+62989415)/1000</f>
        <v>126219.088</v>
      </c>
      <c r="F18" s="627">
        <f t="shared" si="0"/>
        <v>3.5600590092522964E-3</v>
      </c>
      <c r="G18" s="517">
        <f>E18/B.1!I17</f>
        <v>1.3710560402878781E-2</v>
      </c>
      <c r="H18" s="525">
        <f t="shared" si="1"/>
        <v>8.2177269415858872E-2</v>
      </c>
      <c r="J18" s="105"/>
      <c r="K18" s="660">
        <v>2009</v>
      </c>
      <c r="L18" s="644"/>
      <c r="M18" s="659"/>
      <c r="N18" s="658">
        <v>2010</v>
      </c>
      <c r="O18" s="644"/>
      <c r="P18" s="659"/>
      <c r="Q18" s="658">
        <v>2011</v>
      </c>
      <c r="R18" s="644"/>
      <c r="S18" s="659"/>
      <c r="T18" s="658">
        <v>2012</v>
      </c>
      <c r="U18" s="644"/>
      <c r="V18" s="659"/>
      <c r="W18" s="658">
        <v>2013</v>
      </c>
      <c r="X18" s="644"/>
      <c r="Y18" s="659"/>
      <c r="Z18" s="658" t="s">
        <v>447</v>
      </c>
      <c r="AA18" s="644"/>
      <c r="AB18" s="659"/>
      <c r="AD18" s="657" t="s">
        <v>478</v>
      </c>
      <c r="AE18" s="657"/>
      <c r="AF18" s="657"/>
      <c r="AG18" s="657"/>
      <c r="AH18" s="657"/>
      <c r="AI18" s="657"/>
      <c r="AJ18" s="609"/>
    </row>
    <row r="19" spans="2:36" ht="15.75" thickBot="1" x14ac:dyDescent="0.3">
      <c r="B19" s="94" t="s">
        <v>114</v>
      </c>
      <c r="C19" s="24" t="s">
        <v>32</v>
      </c>
      <c r="D19" s="518">
        <v>10434.147000000001</v>
      </c>
      <c r="E19" s="189">
        <f xml:space="preserve"> 559509.31</f>
        <v>559509.31000000006</v>
      </c>
      <c r="F19" s="627">
        <f t="shared" si="0"/>
        <v>1.5781180100319186E-2</v>
      </c>
      <c r="G19" s="517">
        <f>E19/B.1!I18</f>
        <v>1.6248686464466384E-2</v>
      </c>
      <c r="H19" s="525">
        <f t="shared" si="1"/>
        <v>1.8648745987801345E-2</v>
      </c>
      <c r="J19" s="608"/>
      <c r="K19" s="187" t="s">
        <v>12</v>
      </c>
      <c r="L19" s="160" t="s">
        <v>13</v>
      </c>
      <c r="M19" s="184" t="s">
        <v>14</v>
      </c>
      <c r="N19" s="183" t="s">
        <v>12</v>
      </c>
      <c r="O19" s="160" t="s">
        <v>13</v>
      </c>
      <c r="P19" s="184" t="s">
        <v>14</v>
      </c>
      <c r="Q19" s="183" t="s">
        <v>12</v>
      </c>
      <c r="R19" s="160" t="s">
        <v>13</v>
      </c>
      <c r="S19" s="184" t="s">
        <v>14</v>
      </c>
      <c r="T19" s="183" t="s">
        <v>12</v>
      </c>
      <c r="U19" s="160" t="s">
        <v>13</v>
      </c>
      <c r="V19" s="184" t="s">
        <v>14</v>
      </c>
      <c r="W19" s="183" t="s">
        <v>12</v>
      </c>
      <c r="X19" s="160" t="s">
        <v>13</v>
      </c>
      <c r="Y19" s="184" t="s">
        <v>14</v>
      </c>
      <c r="Z19" s="183" t="s">
        <v>12</v>
      </c>
      <c r="AA19" s="160" t="s">
        <v>13</v>
      </c>
      <c r="AB19" s="184" t="s">
        <v>14</v>
      </c>
      <c r="AD19" s="7"/>
      <c r="AE19" s="160">
        <v>2009</v>
      </c>
      <c r="AF19" s="160">
        <v>2010</v>
      </c>
      <c r="AG19" s="160">
        <v>2011</v>
      </c>
      <c r="AH19" s="160">
        <v>2012</v>
      </c>
      <c r="AI19" s="160">
        <v>2013</v>
      </c>
      <c r="AJ19" s="160" t="s">
        <v>447</v>
      </c>
    </row>
    <row r="20" spans="2:36" ht="15.75" thickTop="1" x14ac:dyDescent="0.25">
      <c r="B20" s="94" t="s">
        <v>115</v>
      </c>
      <c r="C20" s="24" t="s">
        <v>33</v>
      </c>
      <c r="D20" s="518">
        <v>0</v>
      </c>
      <c r="E20" s="189">
        <f>0</f>
        <v>0</v>
      </c>
      <c r="F20" s="627">
        <f t="shared" si="0"/>
        <v>0</v>
      </c>
      <c r="G20" s="517">
        <f>E20/B.1!I19</f>
        <v>0</v>
      </c>
      <c r="H20" s="525" t="s">
        <v>128</v>
      </c>
      <c r="J20" s="195" t="s">
        <v>10</v>
      </c>
      <c r="K20" s="189">
        <f>37511.75*'ANEXO 1'!E6</f>
        <v>44135.199697499993</v>
      </c>
      <c r="L20" s="162">
        <f>(9504.024)*'ANEXO 1'!E6</f>
        <v>11182.149517679998</v>
      </c>
      <c r="M20" s="192">
        <f>SUM(K20:L20)</f>
        <v>55317.349215179987</v>
      </c>
      <c r="N20" s="189">
        <f>(44031.54)*'ANEXO 1'!F6</f>
        <v>50310.437604000006</v>
      </c>
      <c r="O20" s="162">
        <f>(15074.5)*'ANEXO 1'!F6</f>
        <v>17224.1237</v>
      </c>
      <c r="P20" s="192">
        <f>SUM(N20:O20)</f>
        <v>67534.561304000003</v>
      </c>
      <c r="Q20" s="189">
        <f>44031.54*'ANEXO 1'!G6</f>
        <v>48172.706336999996</v>
      </c>
      <c r="R20" s="162">
        <f>15074.5*'ANEXO 1'!G6</f>
        <v>16492.256724999999</v>
      </c>
      <c r="S20" s="192">
        <f>SUM(Q20:R20)</f>
        <v>64664.963061999995</v>
      </c>
      <c r="T20" s="189">
        <f>41783.65*'ANEXO 1'!H6</f>
        <v>45044.0282095</v>
      </c>
      <c r="U20" s="162">
        <f>15682.87*'ANEXO 1'!H6</f>
        <v>16906.604346100001</v>
      </c>
      <c r="V20" s="192">
        <f>SUM(T20:U20)</f>
        <v>61950.632555600001</v>
      </c>
      <c r="W20" s="189">
        <v>55467.05506767</v>
      </c>
      <c r="X20" s="162">
        <v>11229.30121256</v>
      </c>
      <c r="Y20" s="192">
        <f>SUM(W20:X20)</f>
        <v>66696.35628023</v>
      </c>
      <c r="Z20" s="189">
        <f>Z22-Z21</f>
        <v>49803.790999999997</v>
      </c>
      <c r="AA20" s="162">
        <f>AA22-AA21</f>
        <v>11599.318000000003</v>
      </c>
      <c r="AB20" s="192">
        <f>SUM(Z20:AA20)</f>
        <v>61403.108999999997</v>
      </c>
      <c r="AD20" s="155" t="s">
        <v>10</v>
      </c>
      <c r="AE20" s="606">
        <f>(307.292614379085)*'ANEXO 1'!E6</f>
        <v>361.55127130000005</v>
      </c>
      <c r="AF20" s="606">
        <f>(362.613742331288)*'ANEXO 1'!F6</f>
        <v>414.3224619877297</v>
      </c>
      <c r="AG20" s="606">
        <f>(212.0536)*'ANEXO 1'!G6</f>
        <v>231.99724107999998</v>
      </c>
      <c r="AH20" s="606">
        <f>(236.5883)*'ANEXO 1'!H6</f>
        <v>255.04928504900002</v>
      </c>
      <c r="AI20" s="606">
        <v>204.59004993935582</v>
      </c>
      <c r="AJ20" s="606">
        <f xml:space="preserve"> AB20/348</f>
        <v>176.44571551724138</v>
      </c>
    </row>
    <row r="21" spans="2:36" x14ac:dyDescent="0.25">
      <c r="B21" s="94" t="s">
        <v>116</v>
      </c>
      <c r="C21" s="24" t="s">
        <v>34</v>
      </c>
      <c r="D21" s="518">
        <v>33512.275000000001</v>
      </c>
      <c r="E21" s="189">
        <f>(11971022+1259366+26042970+1770192)/1000</f>
        <v>41043.550000000003</v>
      </c>
      <c r="F21" s="627">
        <f t="shared" si="0"/>
        <v>1.1576494670061084E-3</v>
      </c>
      <c r="G21" s="517">
        <f>E21/B.1!I20</f>
        <v>4.2846278226576131E-3</v>
      </c>
      <c r="H21" s="525">
        <f t="shared" si="1"/>
        <v>0.81650527305752063</v>
      </c>
      <c r="J21" s="195" t="s">
        <v>11</v>
      </c>
      <c r="K21" s="189">
        <f>45389.65*'ANEXO 1'!E6</f>
        <v>53404.100500499997</v>
      </c>
      <c r="L21" s="162">
        <f>(7396.266)*'ANEXO 1'!E6</f>
        <v>8702.2246876199988</v>
      </c>
      <c r="M21" s="192">
        <f>SUM(K21:L21)</f>
        <v>62106.325188119998</v>
      </c>
      <c r="N21" s="189">
        <f>(38660.22)*'ANEXO 1'!F6</f>
        <v>44173.167372000004</v>
      </c>
      <c r="O21" s="162">
        <f>(11055.2)*'ANEXO 1'!F6</f>
        <v>12631.671520000002</v>
      </c>
      <c r="P21" s="192">
        <f>SUM(N21:O21)</f>
        <v>56804.838892000007</v>
      </c>
      <c r="Q21" s="189">
        <f>38660.22*'ANEXO 1'!G6</f>
        <v>42296.213690999997</v>
      </c>
      <c r="R21" s="162">
        <f>11055.2*'ANEXO 1'!G6</f>
        <v>12094.941560000001</v>
      </c>
      <c r="S21" s="192">
        <f>SUM(Q21:R21)</f>
        <v>54391.155250999996</v>
      </c>
      <c r="T21" s="189">
        <f>57625.67*'ANEXO 1'!H6</f>
        <v>62122.201030099997</v>
      </c>
      <c r="U21" s="162">
        <f>31810.5303*'ANEXO 1'!H6</f>
        <v>34292.705979309001</v>
      </c>
      <c r="V21" s="192">
        <f>SUM(T21:U21)</f>
        <v>96414.907009408998</v>
      </c>
      <c r="W21" s="189">
        <v>96456.966840790003</v>
      </c>
      <c r="X21" s="162">
        <v>33137.771219270006</v>
      </c>
      <c r="Y21" s="192">
        <f>SUM(W21:X21)</f>
        <v>129594.73806006002</v>
      </c>
      <c r="Z21" s="189">
        <v>106056.179</v>
      </c>
      <c r="AA21" s="162">
        <v>19485.902999999998</v>
      </c>
      <c r="AB21" s="192">
        <f>SUM(Z21:AA21)</f>
        <v>125542.08199999999</v>
      </c>
      <c r="AD21" s="159" t="s">
        <v>11</v>
      </c>
      <c r="AE21" s="607">
        <f>(364.040827586207)*'ANEXO 1'!E6</f>
        <v>428.31951651310351</v>
      </c>
      <c r="AF21" s="607">
        <f>(320.744580645161)*'ANEXO 1'!F6</f>
        <v>366.48275784516102</v>
      </c>
      <c r="AG21" s="607">
        <f>(359.7954)*'ANEXO 1'!G6</f>
        <v>393.63415736999997</v>
      </c>
      <c r="AH21" s="607">
        <f>(394.8736)*'ANEXO 1'!H6</f>
        <v>425.68558700800003</v>
      </c>
      <c r="AI21" s="607">
        <v>457.93193660798585</v>
      </c>
      <c r="AJ21" s="607">
        <v>417.08332890365449</v>
      </c>
    </row>
    <row r="22" spans="2:36" x14ac:dyDescent="0.25">
      <c r="B22" s="94" t="s">
        <v>117</v>
      </c>
      <c r="C22" s="24" t="s">
        <v>35</v>
      </c>
      <c r="D22" s="518">
        <v>611.70899999999995</v>
      </c>
      <c r="E22" s="189">
        <f>5903.007</f>
        <v>5903.0069999999996</v>
      </c>
      <c r="F22" s="627">
        <f t="shared" si="0"/>
        <v>1.6649663363143115E-4</v>
      </c>
      <c r="G22" s="517">
        <f>E22/B.1!I21</f>
        <v>6.5557633250171114E-3</v>
      </c>
      <c r="H22" s="525">
        <f t="shared" si="1"/>
        <v>0.10362667704781647</v>
      </c>
      <c r="J22" s="88" t="s">
        <v>2</v>
      </c>
      <c r="K22" s="190">
        <f>SUM(K20:K21)</f>
        <v>97539.300197999983</v>
      </c>
      <c r="L22" s="168">
        <f>SUM(L20:L21)</f>
        <v>19884.374205299995</v>
      </c>
      <c r="M22" s="501">
        <f>SUM(M20:M21)</f>
        <v>117423.67440329998</v>
      </c>
      <c r="N22" s="168">
        <f t="shared" ref="N22:AB22" si="2">SUM(N20:N21)</f>
        <v>94483.604976000002</v>
      </c>
      <c r="O22" s="168">
        <f t="shared" si="2"/>
        <v>29855.79522</v>
      </c>
      <c r="P22" s="501">
        <f t="shared" si="2"/>
        <v>124339.400196</v>
      </c>
      <c r="Q22" s="168">
        <f t="shared" si="2"/>
        <v>90468.920027999993</v>
      </c>
      <c r="R22" s="168">
        <f t="shared" si="2"/>
        <v>28587.198284999999</v>
      </c>
      <c r="S22" s="501">
        <f t="shared" si="2"/>
        <v>119056.11831299998</v>
      </c>
      <c r="T22" s="168">
        <f t="shared" si="2"/>
        <v>107166.2292396</v>
      </c>
      <c r="U22" s="168">
        <f t="shared" si="2"/>
        <v>51199.310325409002</v>
      </c>
      <c r="V22" s="501">
        <f t="shared" si="2"/>
        <v>158365.53956500901</v>
      </c>
      <c r="W22" s="168">
        <v>151924.02190846001</v>
      </c>
      <c r="X22" s="168">
        <v>44367.072431830005</v>
      </c>
      <c r="Y22" s="501">
        <f>SUM(Y20:Y21)</f>
        <v>196291.09434029</v>
      </c>
      <c r="Z22" s="168">
        <v>155859.97</v>
      </c>
      <c r="AA22" s="168">
        <v>31085.221000000001</v>
      </c>
      <c r="AB22" s="501">
        <f t="shared" si="2"/>
        <v>186945.19099999999</v>
      </c>
    </row>
    <row r="23" spans="2:36" x14ac:dyDescent="0.25">
      <c r="B23" s="94" t="s">
        <v>118</v>
      </c>
      <c r="C23" s="24" t="s">
        <v>36</v>
      </c>
      <c r="D23" s="518">
        <v>0</v>
      </c>
      <c r="E23" s="189">
        <f>0</f>
        <v>0</v>
      </c>
      <c r="F23" s="627">
        <f t="shared" si="0"/>
        <v>0</v>
      </c>
      <c r="G23" s="517" t="s">
        <v>128</v>
      </c>
      <c r="H23" s="525" t="s">
        <v>128</v>
      </c>
      <c r="J23" s="231" t="s">
        <v>439</v>
      </c>
    </row>
    <row r="24" spans="2:36" x14ac:dyDescent="0.25">
      <c r="B24" s="94" t="s">
        <v>119</v>
      </c>
      <c r="C24" s="24" t="s">
        <v>37</v>
      </c>
      <c r="D24" s="518">
        <v>710.69600000000003</v>
      </c>
      <c r="E24" s="189">
        <f>25.082</f>
        <v>25.082000000000001</v>
      </c>
      <c r="F24" s="627">
        <f t="shared" si="0"/>
        <v>7.0744767281210356E-7</v>
      </c>
      <c r="G24" s="517">
        <f>E24/B.1!I23</f>
        <v>5.044296168442568E-4</v>
      </c>
      <c r="H24" s="525">
        <f t="shared" si="1"/>
        <v>28.334901523004547</v>
      </c>
      <c r="J24" s="231"/>
    </row>
    <row r="25" spans="2:36" x14ac:dyDescent="0.25">
      <c r="B25" s="94" t="s">
        <v>120</v>
      </c>
      <c r="C25" s="24" t="s">
        <v>38</v>
      </c>
      <c r="D25" s="518">
        <v>800.57</v>
      </c>
      <c r="E25" s="189">
        <f xml:space="preserve"> 1550.246</f>
        <v>1550.2460000000001</v>
      </c>
      <c r="F25" s="627">
        <f>E25/$E$28</f>
        <v>4.3725298021938933E-5</v>
      </c>
      <c r="G25" s="517">
        <f>E25/B.1!I24</f>
        <v>2.1088548563327376E-3</v>
      </c>
      <c r="H25" s="525">
        <f>D25/E25</f>
        <v>0.5164148141649777</v>
      </c>
    </row>
    <row r="26" spans="2:36" x14ac:dyDescent="0.25">
      <c r="B26" s="94" t="s">
        <v>121</v>
      </c>
      <c r="C26" s="24" t="s">
        <v>39</v>
      </c>
      <c r="D26" s="518">
        <v>0</v>
      </c>
      <c r="E26" s="189">
        <f>0</f>
        <v>0</v>
      </c>
      <c r="F26" s="627">
        <f t="shared" si="0"/>
        <v>0</v>
      </c>
      <c r="G26" s="517" t="s">
        <v>128</v>
      </c>
      <c r="H26" s="525" t="s">
        <v>128</v>
      </c>
    </row>
    <row r="27" spans="2:36" x14ac:dyDescent="0.25">
      <c r="B27" s="95" t="s">
        <v>122</v>
      </c>
      <c r="C27" s="24" t="s">
        <v>40</v>
      </c>
      <c r="D27" s="518">
        <v>458.16</v>
      </c>
      <c r="E27" s="189">
        <v>0</v>
      </c>
      <c r="F27" s="627">
        <f t="shared" si="0"/>
        <v>0</v>
      </c>
      <c r="G27" s="517" t="s">
        <v>128</v>
      </c>
      <c r="H27" s="525" t="s">
        <v>128</v>
      </c>
    </row>
    <row r="28" spans="2:36" x14ac:dyDescent="0.25">
      <c r="B28" s="95"/>
      <c r="C28" s="17" t="s">
        <v>8</v>
      </c>
      <c r="D28" s="522">
        <f>SUM(D9:D27)</f>
        <v>186945.19099999999</v>
      </c>
      <c r="E28" s="190">
        <f>SUM(E9:E27)</f>
        <v>35454212.324000001</v>
      </c>
      <c r="F28" s="628">
        <f>E28/$E$28</f>
        <v>1</v>
      </c>
      <c r="G28" s="524">
        <f>E28/B.1!I27</f>
        <v>0.2263202224237793</v>
      </c>
      <c r="H28" s="632">
        <f>D28/E28</f>
        <v>5.272862623250307E-3</v>
      </c>
    </row>
    <row r="29" spans="2:36" x14ac:dyDescent="0.25">
      <c r="B29" s="170"/>
      <c r="C29" s="78" t="s">
        <v>264</v>
      </c>
      <c r="D29" s="78"/>
      <c r="E29" s="170"/>
      <c r="F29" s="170"/>
      <c r="G29" s="170"/>
      <c r="H29" s="170"/>
    </row>
    <row r="30" spans="2:36" x14ac:dyDescent="0.25">
      <c r="B30" s="170"/>
      <c r="C30" s="78" t="s">
        <v>604</v>
      </c>
      <c r="D30" s="78"/>
      <c r="E30" s="170"/>
      <c r="F30" s="170"/>
      <c r="G30" s="170"/>
      <c r="H30" s="170"/>
    </row>
    <row r="31" spans="2:36" x14ac:dyDescent="0.25">
      <c r="B31" s="170"/>
      <c r="C31" s="78" t="s">
        <v>607</v>
      </c>
      <c r="D31" s="78"/>
      <c r="E31" s="170"/>
      <c r="F31" s="170"/>
      <c r="G31" s="170"/>
      <c r="H31" s="170"/>
    </row>
    <row r="32" spans="2:36" x14ac:dyDescent="0.25">
      <c r="B32" s="170"/>
      <c r="C32" s="231" t="s">
        <v>609</v>
      </c>
      <c r="D32" s="170"/>
      <c r="E32" s="170"/>
      <c r="F32" s="170"/>
      <c r="G32" s="170"/>
      <c r="H32" s="170"/>
    </row>
    <row r="33" spans="3:4" x14ac:dyDescent="0.25">
      <c r="C33" s="78"/>
      <c r="D33" s="78"/>
    </row>
    <row r="34" spans="3:4" x14ac:dyDescent="0.25">
      <c r="C34" s="231"/>
      <c r="D34" s="170"/>
    </row>
    <row r="36" spans="3:4" x14ac:dyDescent="0.25">
      <c r="C36" s="577"/>
    </row>
    <row r="59" spans="2:8" x14ac:dyDescent="0.25">
      <c r="B59" s="64"/>
      <c r="D59" s="112"/>
      <c r="H59" s="112"/>
    </row>
  </sheetData>
  <sheetProtection password="C69F" sheet="1" objects="1" scenarios="1"/>
  <mergeCells count="27">
    <mergeCell ref="H7:H8"/>
    <mergeCell ref="C7:C8"/>
    <mergeCell ref="D7:D8"/>
    <mergeCell ref="E7:F7"/>
    <mergeCell ref="X7:AD7"/>
    <mergeCell ref="J7:T7"/>
    <mergeCell ref="K8:L8"/>
    <mergeCell ref="M8:N8"/>
    <mergeCell ref="O8:P8"/>
    <mergeCell ref="Q8:R8"/>
    <mergeCell ref="S8:T8"/>
    <mergeCell ref="G7:G8"/>
    <mergeCell ref="U8:V8"/>
    <mergeCell ref="X9:Y9"/>
    <mergeCell ref="X10:Y10"/>
    <mergeCell ref="X11:Y11"/>
    <mergeCell ref="X12:Y12"/>
    <mergeCell ref="X13:Y13"/>
    <mergeCell ref="AD17:AI17"/>
    <mergeCell ref="AD18:AI18"/>
    <mergeCell ref="W18:Y18"/>
    <mergeCell ref="N18:P18"/>
    <mergeCell ref="J17:Y17"/>
    <mergeCell ref="K18:M18"/>
    <mergeCell ref="Q18:S18"/>
    <mergeCell ref="T18:V18"/>
    <mergeCell ref="Z18:AB18"/>
  </mergeCells>
  <hyperlinks>
    <hyperlink ref="A1" location="ÍNDICE!A1" display="ÍNDICE"/>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28"/>
  <sheetViews>
    <sheetView zoomScale="90" zoomScaleNormal="90" workbookViewId="0">
      <selection activeCell="B44" sqref="B44"/>
    </sheetView>
  </sheetViews>
  <sheetFormatPr baseColWidth="10" defaultRowHeight="15" x14ac:dyDescent="0.25"/>
  <cols>
    <col min="2" max="2" width="91.85546875" bestFit="1" customWidth="1"/>
    <col min="3" max="3" width="16.5703125" customWidth="1"/>
    <col min="4" max="4" width="14.85546875" customWidth="1"/>
    <col min="5" max="5" width="8.28515625" customWidth="1"/>
    <col min="6" max="6" width="10.85546875" style="139" customWidth="1"/>
    <col min="7" max="7" width="23.42578125" style="139" customWidth="1"/>
    <col min="8" max="8" width="15.7109375" customWidth="1"/>
    <col min="9" max="9" width="8.140625" customWidth="1"/>
    <col min="10" max="10" width="15.140625" customWidth="1"/>
    <col min="11" max="11" width="9" customWidth="1"/>
    <col min="12" max="12" width="14.28515625" customWidth="1"/>
    <col min="13" max="13" width="8.7109375" customWidth="1"/>
  </cols>
  <sheetData>
    <row r="1" spans="1:13" x14ac:dyDescent="0.25">
      <c r="A1" s="59" t="s">
        <v>132</v>
      </c>
    </row>
    <row r="2" spans="1:13" s="64" customFormat="1" x14ac:dyDescent="0.25">
      <c r="A2" s="1" t="s">
        <v>622</v>
      </c>
      <c r="F2" s="139"/>
      <c r="G2" s="139"/>
    </row>
    <row r="4" spans="1:13" s="64" customFormat="1" x14ac:dyDescent="0.25">
      <c r="A4" s="58" t="s">
        <v>103</v>
      </c>
      <c r="B4" s="64" t="s">
        <v>481</v>
      </c>
      <c r="F4" s="139"/>
      <c r="G4" s="139"/>
    </row>
    <row r="5" spans="1:13" s="64" customFormat="1" x14ac:dyDescent="0.25">
      <c r="F5" s="139"/>
      <c r="G5" s="139"/>
    </row>
    <row r="6" spans="1:13" x14ac:dyDescent="0.25">
      <c r="B6" s="658" t="s">
        <v>618</v>
      </c>
      <c r="C6" s="644"/>
      <c r="D6" s="644"/>
      <c r="E6" s="644"/>
      <c r="F6" s="644"/>
      <c r="G6" s="644"/>
      <c r="H6" s="644"/>
      <c r="I6" s="644"/>
      <c r="J6" s="644"/>
      <c r="K6" s="644"/>
      <c r="L6" s="644"/>
      <c r="M6" s="659"/>
    </row>
    <row r="7" spans="1:13" x14ac:dyDescent="0.25">
      <c r="B7" s="105"/>
      <c r="C7" s="664" t="s">
        <v>219</v>
      </c>
      <c r="D7" s="658" t="s">
        <v>675</v>
      </c>
      <c r="E7" s="659"/>
      <c r="F7" s="668" t="s">
        <v>377</v>
      </c>
      <c r="G7" s="669"/>
      <c r="H7" s="660" t="s">
        <v>220</v>
      </c>
      <c r="I7" s="671"/>
      <c r="J7" s="660" t="s">
        <v>221</v>
      </c>
      <c r="K7" s="671"/>
      <c r="L7" s="660" t="s">
        <v>676</v>
      </c>
      <c r="M7" s="671"/>
    </row>
    <row r="8" spans="1:13" ht="15.75" thickBot="1" x14ac:dyDescent="0.3">
      <c r="B8" s="126"/>
      <c r="C8" s="665"/>
      <c r="D8" s="187" t="s">
        <v>217</v>
      </c>
      <c r="E8" s="188" t="s">
        <v>218</v>
      </c>
      <c r="F8" s="187" t="s">
        <v>217</v>
      </c>
      <c r="G8" s="188" t="s">
        <v>218</v>
      </c>
      <c r="H8" s="187" t="s">
        <v>217</v>
      </c>
      <c r="I8" s="188" t="s">
        <v>218</v>
      </c>
      <c r="J8" s="187" t="s">
        <v>217</v>
      </c>
      <c r="K8" s="188" t="s">
        <v>218</v>
      </c>
      <c r="L8" s="187" t="s">
        <v>217</v>
      </c>
      <c r="M8" s="188" t="s">
        <v>218</v>
      </c>
    </row>
    <row r="9" spans="1:13" ht="15.75" thickTop="1" x14ac:dyDescent="0.25">
      <c r="B9" s="198" t="s">
        <v>7</v>
      </c>
      <c r="C9" s="518">
        <v>2304</v>
      </c>
      <c r="D9" s="532">
        <v>736</v>
      </c>
      <c r="E9" s="185">
        <f>D9/C9</f>
        <v>0.31944444444444442</v>
      </c>
      <c r="F9" s="532">
        <f>+H9+L9</f>
        <v>649</v>
      </c>
      <c r="G9" s="533">
        <f>+I9+M9</f>
        <v>0.28168402777777779</v>
      </c>
      <c r="H9" s="532">
        <v>526</v>
      </c>
      <c r="I9" s="533">
        <f>H9/C9</f>
        <v>0.2282986111111111</v>
      </c>
      <c r="J9" s="532">
        <f xml:space="preserve"> 87</f>
        <v>87</v>
      </c>
      <c r="K9" s="533">
        <f>J9/C9</f>
        <v>3.7760416666666664E-2</v>
      </c>
      <c r="L9" s="532">
        <f>123</f>
        <v>123</v>
      </c>
      <c r="M9" s="215">
        <f>L9/C9</f>
        <v>5.3385416666666664E-2</v>
      </c>
    </row>
    <row r="10" spans="1:13" x14ac:dyDescent="0.25">
      <c r="B10" s="195" t="s">
        <v>5</v>
      </c>
      <c r="C10" s="518">
        <v>225</v>
      </c>
      <c r="D10" s="532">
        <v>113</v>
      </c>
      <c r="E10" s="185">
        <f>D10/C10</f>
        <v>0.50222222222222224</v>
      </c>
      <c r="F10" s="532">
        <f t="shared" ref="F10:G13" si="0">+H10+L10</f>
        <v>89</v>
      </c>
      <c r="G10" s="534">
        <f>+I10+M10</f>
        <v>0.39555555555555555</v>
      </c>
      <c r="H10" s="532">
        <f xml:space="preserve"> 55</f>
        <v>55</v>
      </c>
      <c r="I10" s="534">
        <f t="shared" ref="I10:I13" si="1">H10/C10</f>
        <v>0.24444444444444444</v>
      </c>
      <c r="J10" s="532">
        <f xml:space="preserve"> 24</f>
        <v>24</v>
      </c>
      <c r="K10" s="534">
        <f t="shared" ref="K10:K13" si="2">J10/C10</f>
        <v>0.10666666666666667</v>
      </c>
      <c r="L10" s="532">
        <f>34</f>
        <v>34</v>
      </c>
      <c r="M10" s="185">
        <f t="shared" ref="M10:M13" si="3">L10/C10</f>
        <v>0.15111111111111111</v>
      </c>
    </row>
    <row r="11" spans="1:13" x14ac:dyDescent="0.25">
      <c r="B11" s="195" t="s">
        <v>51</v>
      </c>
      <c r="C11" s="518">
        <v>1415</v>
      </c>
      <c r="D11" s="532">
        <f>815</f>
        <v>815</v>
      </c>
      <c r="E11" s="185">
        <f t="shared" ref="E11:E12" si="4">D11/C11</f>
        <v>0.57597173144876324</v>
      </c>
      <c r="F11" s="532">
        <f t="shared" si="0"/>
        <v>813</v>
      </c>
      <c r="G11" s="534">
        <f>+I11+M11</f>
        <v>0.57455830388692586</v>
      </c>
      <c r="H11" s="532">
        <f>774</f>
        <v>774</v>
      </c>
      <c r="I11" s="534">
        <f t="shared" si="1"/>
        <v>0.54699646643109545</v>
      </c>
      <c r="J11" s="532">
        <f xml:space="preserve"> 2</f>
        <v>2</v>
      </c>
      <c r="K11" s="534">
        <f t="shared" si="2"/>
        <v>1.4134275618374558E-3</v>
      </c>
      <c r="L11" s="532">
        <f xml:space="preserve"> 39</f>
        <v>39</v>
      </c>
      <c r="M11" s="185">
        <f t="shared" si="3"/>
        <v>2.756183745583039E-2</v>
      </c>
    </row>
    <row r="12" spans="1:13" x14ac:dyDescent="0.25">
      <c r="B12" s="195" t="s">
        <v>6</v>
      </c>
      <c r="C12" s="518">
        <v>113</v>
      </c>
      <c r="D12" s="532">
        <f>62</f>
        <v>62</v>
      </c>
      <c r="E12" s="185">
        <f t="shared" si="4"/>
        <v>0.54867256637168138</v>
      </c>
      <c r="F12" s="532">
        <f t="shared" si="0"/>
        <v>57</v>
      </c>
      <c r="G12" s="534">
        <f t="shared" si="0"/>
        <v>0.50442477876106195</v>
      </c>
      <c r="H12" s="532">
        <f>44</f>
        <v>44</v>
      </c>
      <c r="I12" s="534">
        <f t="shared" si="1"/>
        <v>0.38938053097345132</v>
      </c>
      <c r="J12" s="532">
        <f>5</f>
        <v>5</v>
      </c>
      <c r="K12" s="534">
        <f t="shared" si="2"/>
        <v>4.4247787610619468E-2</v>
      </c>
      <c r="L12" s="532">
        <f xml:space="preserve"> 13</f>
        <v>13</v>
      </c>
      <c r="M12" s="185">
        <f t="shared" si="3"/>
        <v>0.11504424778761062</v>
      </c>
    </row>
    <row r="13" spans="1:13" x14ac:dyDescent="0.25">
      <c r="B13" s="88" t="s">
        <v>2</v>
      </c>
      <c r="C13" s="610">
        <f>SUM(C9:C12)</f>
        <v>4057</v>
      </c>
      <c r="D13" s="535">
        <f>SUM(D9:D12)</f>
        <v>1726</v>
      </c>
      <c r="E13" s="536">
        <f>D13/C13</f>
        <v>0.42543751540547203</v>
      </c>
      <c r="F13" s="535">
        <f t="shared" si="0"/>
        <v>1608</v>
      </c>
      <c r="G13" s="537">
        <f t="shared" si="0"/>
        <v>0.39635198422479667</v>
      </c>
      <c r="H13" s="535">
        <f>SUM(H9:H12)</f>
        <v>1399</v>
      </c>
      <c r="I13" s="537">
        <f t="shared" si="1"/>
        <v>0.34483608577766822</v>
      </c>
      <c r="J13" s="535">
        <f>SUM(J9:J12)</f>
        <v>118</v>
      </c>
      <c r="K13" s="537">
        <f t="shared" si="2"/>
        <v>2.9085531180675375E-2</v>
      </c>
      <c r="L13" s="535">
        <f>SUM(L9:L12)</f>
        <v>209</v>
      </c>
      <c r="M13" s="536">
        <f t="shared" si="3"/>
        <v>5.1515898447128422E-2</v>
      </c>
    </row>
    <row r="14" spans="1:13" s="85" customFormat="1" x14ac:dyDescent="0.25">
      <c r="B14" s="89" t="s">
        <v>367</v>
      </c>
      <c r="C14" s="128"/>
      <c r="D14" s="129"/>
      <c r="E14" s="130"/>
      <c r="F14" s="130"/>
      <c r="G14" s="130"/>
      <c r="H14" s="129"/>
      <c r="I14" s="130"/>
      <c r="J14" s="129"/>
      <c r="K14" s="130"/>
      <c r="L14" s="129"/>
      <c r="M14" s="249"/>
    </row>
    <row r="15" spans="1:13" s="85" customFormat="1" x14ac:dyDescent="0.25">
      <c r="C15" s="128"/>
      <c r="D15" s="129"/>
      <c r="E15" s="130"/>
      <c r="F15" s="130"/>
      <c r="G15" s="130"/>
      <c r="H15" s="129"/>
      <c r="I15" s="130"/>
      <c r="J15" s="129"/>
      <c r="K15" s="130"/>
      <c r="L15" s="129"/>
      <c r="M15" s="130"/>
    </row>
    <row r="16" spans="1:13" x14ac:dyDescent="0.25">
      <c r="F16" s="130"/>
      <c r="G16" s="130"/>
      <c r="H16" s="139"/>
    </row>
    <row r="17" spans="2:8" x14ac:dyDescent="0.25">
      <c r="B17" s="672" t="s">
        <v>480</v>
      </c>
      <c r="C17" s="672"/>
      <c r="D17" s="672"/>
      <c r="E17" s="672"/>
      <c r="F17" s="75"/>
      <c r="G17" s="670"/>
      <c r="H17" s="670"/>
    </row>
    <row r="18" spans="2:8" ht="15.75" thickBot="1" x14ac:dyDescent="0.3">
      <c r="B18" s="153"/>
      <c r="C18" s="160" t="s">
        <v>0</v>
      </c>
      <c r="D18" s="160" t="s">
        <v>1</v>
      </c>
      <c r="E18" s="160">
        <v>2013</v>
      </c>
      <c r="F18" s="160" t="s">
        <v>447</v>
      </c>
      <c r="H18" s="139"/>
    </row>
    <row r="19" spans="2:8" ht="15.75" thickTop="1" x14ac:dyDescent="0.25">
      <c r="B19" s="159" t="s">
        <v>223</v>
      </c>
      <c r="C19" s="538">
        <v>914</v>
      </c>
      <c r="D19" s="538">
        <v>2061</v>
      </c>
      <c r="E19" s="538">
        <v>2249</v>
      </c>
      <c r="F19" s="538">
        <f>C9</f>
        <v>2304</v>
      </c>
      <c r="H19" s="139"/>
    </row>
    <row r="20" spans="2:8" x14ac:dyDescent="0.25">
      <c r="B20" s="18" t="s">
        <v>613</v>
      </c>
      <c r="C20" s="150">
        <v>358</v>
      </c>
      <c r="D20" s="150">
        <v>603</v>
      </c>
      <c r="E20" s="150">
        <v>713</v>
      </c>
      <c r="F20" s="150">
        <f>D9</f>
        <v>736</v>
      </c>
      <c r="H20" s="139"/>
    </row>
    <row r="21" spans="2:8" x14ac:dyDescent="0.25">
      <c r="B21" s="18" t="s">
        <v>614</v>
      </c>
      <c r="C21" s="150">
        <v>242</v>
      </c>
      <c r="D21" s="150">
        <v>399</v>
      </c>
      <c r="E21" s="150">
        <v>464</v>
      </c>
      <c r="F21" s="150">
        <f>H9</f>
        <v>526</v>
      </c>
      <c r="H21" s="139"/>
    </row>
    <row r="22" spans="2:8" x14ac:dyDescent="0.25">
      <c r="B22" s="18" t="s">
        <v>615</v>
      </c>
      <c r="C22" s="150">
        <v>32</v>
      </c>
      <c r="D22" s="150">
        <v>86</v>
      </c>
      <c r="E22" s="150">
        <v>104</v>
      </c>
      <c r="F22" s="150">
        <f>J9</f>
        <v>87</v>
      </c>
      <c r="H22" s="139"/>
    </row>
    <row r="23" spans="2:8" x14ac:dyDescent="0.25">
      <c r="B23" s="18" t="s">
        <v>616</v>
      </c>
      <c r="C23" s="150">
        <v>84</v>
      </c>
      <c r="D23" s="150">
        <v>118</v>
      </c>
      <c r="E23" s="150">
        <v>145</v>
      </c>
      <c r="F23" s="150">
        <f>L9</f>
        <v>123</v>
      </c>
      <c r="H23" s="139"/>
    </row>
    <row r="24" spans="2:8" x14ac:dyDescent="0.25">
      <c r="B24" s="159" t="s">
        <v>617</v>
      </c>
      <c r="C24" s="539">
        <v>326</v>
      </c>
      <c r="D24" s="539">
        <v>517</v>
      </c>
      <c r="E24" s="539">
        <f>E21+E23</f>
        <v>609</v>
      </c>
      <c r="F24" s="539">
        <f>F9</f>
        <v>649</v>
      </c>
      <c r="H24" s="139"/>
    </row>
    <row r="25" spans="2:8" x14ac:dyDescent="0.25">
      <c r="B25" s="667" t="s">
        <v>413</v>
      </c>
      <c r="C25" s="667"/>
      <c r="D25" s="667"/>
      <c r="E25" s="667"/>
      <c r="F25" s="667"/>
      <c r="G25" s="667"/>
    </row>
    <row r="26" spans="2:8" x14ac:dyDescent="0.25">
      <c r="B26" s="667"/>
      <c r="C26" s="667"/>
      <c r="D26" s="667"/>
      <c r="E26" s="667"/>
      <c r="F26" s="667"/>
      <c r="G26" s="667"/>
    </row>
    <row r="27" spans="2:8" x14ac:dyDescent="0.25">
      <c r="B27" s="667"/>
      <c r="C27" s="667"/>
      <c r="D27" s="667"/>
      <c r="E27" s="667"/>
      <c r="F27" s="667"/>
      <c r="G27" s="667"/>
    </row>
    <row r="28" spans="2:8" x14ac:dyDescent="0.25">
      <c r="B28" s="667"/>
      <c r="C28" s="667"/>
      <c r="D28" s="667"/>
      <c r="E28" s="667"/>
      <c r="F28" s="667"/>
      <c r="G28" s="667"/>
    </row>
  </sheetData>
  <sheetProtection password="C69F" sheet="1" objects="1" scenarios="1"/>
  <mergeCells count="10">
    <mergeCell ref="B25:G28"/>
    <mergeCell ref="F7:G7"/>
    <mergeCell ref="G17:H17"/>
    <mergeCell ref="B6:M6"/>
    <mergeCell ref="C7:C8"/>
    <mergeCell ref="D7:E7"/>
    <mergeCell ref="H7:I7"/>
    <mergeCell ref="J7:K7"/>
    <mergeCell ref="L7:M7"/>
    <mergeCell ref="B17:E17"/>
  </mergeCells>
  <hyperlinks>
    <hyperlink ref="A1" location="ÍNDICE!A1" display="ÍNDICE"/>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M34"/>
  <sheetViews>
    <sheetView zoomScale="90" zoomScaleNormal="90" workbookViewId="0"/>
  </sheetViews>
  <sheetFormatPr baseColWidth="10" defaultRowHeight="15" x14ac:dyDescent="0.25"/>
  <cols>
    <col min="2" max="2" width="53.7109375" bestFit="1" customWidth="1"/>
    <col min="3" max="3" width="16.5703125" customWidth="1"/>
    <col min="4" max="4" width="14.85546875" customWidth="1"/>
    <col min="5" max="5" width="8.28515625" customWidth="1"/>
    <col min="6" max="6" width="13.42578125" style="121" customWidth="1"/>
    <col min="7" max="7" width="17.28515625" style="121" customWidth="1"/>
    <col min="8" max="8" width="15.7109375" customWidth="1"/>
    <col min="9" max="9" width="8.140625" customWidth="1"/>
    <col min="10" max="10" width="15.140625" customWidth="1"/>
    <col min="11" max="11" width="9" customWidth="1"/>
    <col min="12" max="12" width="14.28515625" customWidth="1"/>
    <col min="13" max="13" width="8.7109375" customWidth="1"/>
  </cols>
  <sheetData>
    <row r="1" spans="1:13" x14ac:dyDescent="0.25">
      <c r="A1" s="59" t="s">
        <v>132</v>
      </c>
    </row>
    <row r="2" spans="1:13" x14ac:dyDescent="0.25">
      <c r="A2" s="1" t="s">
        <v>244</v>
      </c>
    </row>
    <row r="3" spans="1:13" s="64" customFormat="1" x14ac:dyDescent="0.25">
      <c r="F3" s="121"/>
      <c r="G3" s="121"/>
    </row>
    <row r="4" spans="1:13" x14ac:dyDescent="0.25">
      <c r="A4" s="58" t="s">
        <v>103</v>
      </c>
      <c r="B4" s="64" t="s">
        <v>482</v>
      </c>
    </row>
    <row r="6" spans="1:13" x14ac:dyDescent="0.25">
      <c r="A6" s="611"/>
      <c r="B6" s="644" t="s">
        <v>619</v>
      </c>
      <c r="C6" s="644"/>
      <c r="D6" s="644"/>
      <c r="E6" s="644"/>
      <c r="F6" s="644"/>
      <c r="G6" s="644"/>
      <c r="H6" s="644"/>
      <c r="I6" s="644"/>
      <c r="J6" s="644"/>
      <c r="K6" s="644"/>
      <c r="L6" s="644"/>
      <c r="M6" s="659"/>
    </row>
    <row r="7" spans="1:13" x14ac:dyDescent="0.25">
      <c r="A7" s="612"/>
      <c r="B7" s="8"/>
      <c r="C7" s="664" t="s">
        <v>219</v>
      </c>
      <c r="D7" s="658" t="s">
        <v>216</v>
      </c>
      <c r="E7" s="659"/>
      <c r="F7" s="668" t="s">
        <v>377</v>
      </c>
      <c r="G7" s="669"/>
      <c r="H7" s="658" t="s">
        <v>220</v>
      </c>
      <c r="I7" s="659"/>
      <c r="J7" s="658" t="s">
        <v>221</v>
      </c>
      <c r="K7" s="659"/>
      <c r="L7" s="644" t="s">
        <v>222</v>
      </c>
      <c r="M7" s="659"/>
    </row>
    <row r="8" spans="1:13" ht="15.75" thickBot="1" x14ac:dyDescent="0.3">
      <c r="A8" s="612"/>
      <c r="B8" s="6"/>
      <c r="C8" s="665"/>
      <c r="D8" s="81" t="s">
        <v>217</v>
      </c>
      <c r="E8" s="82" t="s">
        <v>218</v>
      </c>
      <c r="F8" s="81" t="s">
        <v>217</v>
      </c>
      <c r="G8" s="82" t="s">
        <v>218</v>
      </c>
      <c r="H8" s="81" t="s">
        <v>217</v>
      </c>
      <c r="I8" s="82" t="s">
        <v>218</v>
      </c>
      <c r="J8" s="81" t="s">
        <v>217</v>
      </c>
      <c r="K8" s="82" t="s">
        <v>218</v>
      </c>
      <c r="L8" s="81" t="s">
        <v>217</v>
      </c>
      <c r="M8" s="82" t="s">
        <v>218</v>
      </c>
    </row>
    <row r="9" spans="1:13" ht="16.5" customHeight="1" thickTop="1" x14ac:dyDescent="0.25">
      <c r="A9" s="198" t="s">
        <v>105</v>
      </c>
      <c r="B9" s="25" t="s">
        <v>22</v>
      </c>
      <c r="C9" s="532">
        <f xml:space="preserve"> 82+ 134</f>
        <v>216</v>
      </c>
      <c r="D9" s="532">
        <f>H9+J9+L9</f>
        <v>67</v>
      </c>
      <c r="E9" s="185">
        <f>D9/$D$28</f>
        <v>9.1032608695652176E-2</v>
      </c>
      <c r="F9" s="532">
        <f>H9+L9</f>
        <v>56</v>
      </c>
      <c r="G9" s="185">
        <f>F9/$F$28</f>
        <v>8.6286594761171037E-2</v>
      </c>
      <c r="H9" s="532">
        <f>15+32</f>
        <v>47</v>
      </c>
      <c r="I9" s="629">
        <f>H9/$H$28</f>
        <v>8.9353612167300381E-2</v>
      </c>
      <c r="J9" s="532">
        <f xml:space="preserve"> 5+6</f>
        <v>11</v>
      </c>
      <c r="K9" s="185">
        <f>J9/$J$28</f>
        <v>0.12643678160919541</v>
      </c>
      <c r="L9" s="532">
        <f>5+4</f>
        <v>9</v>
      </c>
      <c r="M9" s="185">
        <f>L9/$L$28</f>
        <v>7.3170731707317069E-2</v>
      </c>
    </row>
    <row r="10" spans="1:13" x14ac:dyDescent="0.25">
      <c r="A10" s="195" t="s">
        <v>106</v>
      </c>
      <c r="B10" s="25" t="s">
        <v>23</v>
      </c>
      <c r="C10" s="532">
        <f xml:space="preserve">  52</f>
        <v>52</v>
      </c>
      <c r="D10" s="532">
        <f t="shared" ref="D10:D28" si="0">H10+J10+L10</f>
        <v>14</v>
      </c>
      <c r="E10" s="185">
        <f t="shared" ref="E10:E28" si="1">D10/$D$28</f>
        <v>1.9021739130434784E-2</v>
      </c>
      <c r="F10" s="532">
        <f t="shared" ref="F10:F27" si="2">H10+L10</f>
        <v>10</v>
      </c>
      <c r="G10" s="185">
        <f t="shared" ref="G10:G28" si="3">F10/$F$28</f>
        <v>1.5408320493066256E-2</v>
      </c>
      <c r="H10" s="532">
        <f xml:space="preserve"> 6</f>
        <v>6</v>
      </c>
      <c r="I10" s="629">
        <f t="shared" ref="I10:I28" si="4">H10/$H$28</f>
        <v>1.1406844106463879E-2</v>
      </c>
      <c r="J10" s="532">
        <f xml:space="preserve"> 4</f>
        <v>4</v>
      </c>
      <c r="K10" s="185">
        <f t="shared" ref="K10:K28" si="5">J10/$J$28</f>
        <v>4.5977011494252873E-2</v>
      </c>
      <c r="L10" s="532">
        <f xml:space="preserve">  4</f>
        <v>4</v>
      </c>
      <c r="M10" s="185">
        <f t="shared" ref="M10:M28" si="6">L10/$L$28</f>
        <v>3.2520325203252036E-2</v>
      </c>
    </row>
    <row r="11" spans="1:13" x14ac:dyDescent="0.25">
      <c r="A11" s="195" t="s">
        <v>107</v>
      </c>
      <c r="B11" s="25" t="s">
        <v>24</v>
      </c>
      <c r="C11" s="532">
        <f xml:space="preserve"> 342+159+  98</f>
        <v>599</v>
      </c>
      <c r="D11" s="532">
        <f t="shared" si="0"/>
        <v>246</v>
      </c>
      <c r="E11" s="185">
        <f t="shared" si="1"/>
        <v>0.33423913043478259</v>
      </c>
      <c r="F11" s="532">
        <f t="shared" si="2"/>
        <v>224</v>
      </c>
      <c r="G11" s="185">
        <f t="shared" si="3"/>
        <v>0.34514637904468415</v>
      </c>
      <c r="H11" s="532">
        <f xml:space="preserve"> 113+ 42+35</f>
        <v>190</v>
      </c>
      <c r="I11" s="629">
        <f t="shared" si="4"/>
        <v>0.36121673003802279</v>
      </c>
      <c r="J11" s="532">
        <f xml:space="preserve"> 12+ 8+ 2</f>
        <v>22</v>
      </c>
      <c r="K11" s="185">
        <f t="shared" si="5"/>
        <v>0.25287356321839083</v>
      </c>
      <c r="L11" s="532">
        <f>19+ 11+ 4</f>
        <v>34</v>
      </c>
      <c r="M11" s="185">
        <f t="shared" si="6"/>
        <v>0.27642276422764228</v>
      </c>
    </row>
    <row r="12" spans="1:13" x14ac:dyDescent="0.25">
      <c r="A12" s="195" t="s">
        <v>108</v>
      </c>
      <c r="B12" s="25" t="s">
        <v>25</v>
      </c>
      <c r="C12" s="532">
        <f xml:space="preserve"> 32</f>
        <v>32</v>
      </c>
      <c r="D12" s="532">
        <f t="shared" si="0"/>
        <v>6</v>
      </c>
      <c r="E12" s="185">
        <f t="shared" si="1"/>
        <v>8.152173913043478E-3</v>
      </c>
      <c r="F12" s="532">
        <f t="shared" si="2"/>
        <v>4</v>
      </c>
      <c r="G12" s="185">
        <f t="shared" si="3"/>
        <v>6.1633281972265025E-3</v>
      </c>
      <c r="H12" s="532">
        <f xml:space="preserve"> 3</f>
        <v>3</v>
      </c>
      <c r="I12" s="629">
        <f t="shared" si="4"/>
        <v>5.7034220532319393E-3</v>
      </c>
      <c r="J12" s="532">
        <f xml:space="preserve"> 2</f>
        <v>2</v>
      </c>
      <c r="K12" s="185">
        <f t="shared" si="5"/>
        <v>2.2988505747126436E-2</v>
      </c>
      <c r="L12" s="532">
        <f xml:space="preserve"> 1</f>
        <v>1</v>
      </c>
      <c r="M12" s="185">
        <f t="shared" si="6"/>
        <v>8.130081300813009E-3</v>
      </c>
    </row>
    <row r="13" spans="1:13" x14ac:dyDescent="0.25">
      <c r="A13" s="195" t="s">
        <v>109</v>
      </c>
      <c r="B13" s="25" t="s">
        <v>26</v>
      </c>
      <c r="C13" s="532">
        <f>40</f>
        <v>40</v>
      </c>
      <c r="D13" s="532">
        <f t="shared" si="0"/>
        <v>11</v>
      </c>
      <c r="E13" s="185">
        <f t="shared" si="1"/>
        <v>1.4945652173913044E-2</v>
      </c>
      <c r="F13" s="532">
        <f t="shared" si="2"/>
        <v>9</v>
      </c>
      <c r="G13" s="185">
        <f t="shared" si="3"/>
        <v>1.386748844375963E-2</v>
      </c>
      <c r="H13" s="532">
        <f xml:space="preserve"> 3</f>
        <v>3</v>
      </c>
      <c r="I13" s="629">
        <f t="shared" si="4"/>
        <v>5.7034220532319393E-3</v>
      </c>
      <c r="J13" s="532">
        <f xml:space="preserve"> 2</f>
        <v>2</v>
      </c>
      <c r="K13" s="185">
        <f t="shared" si="5"/>
        <v>2.2988505747126436E-2</v>
      </c>
      <c r="L13" s="532">
        <f xml:space="preserve"> 6</f>
        <v>6</v>
      </c>
      <c r="M13" s="185">
        <f t="shared" si="6"/>
        <v>4.878048780487805E-2</v>
      </c>
    </row>
    <row r="14" spans="1:13" x14ac:dyDescent="0.25">
      <c r="A14" s="195" t="s">
        <v>110</v>
      </c>
      <c r="B14" s="25" t="s">
        <v>27</v>
      </c>
      <c r="C14" s="532">
        <f xml:space="preserve"> 68</f>
        <v>68</v>
      </c>
      <c r="D14" s="532">
        <f t="shared" si="0"/>
        <v>15</v>
      </c>
      <c r="E14" s="185">
        <f t="shared" si="1"/>
        <v>2.0380434782608696E-2</v>
      </c>
      <c r="F14" s="532">
        <f t="shared" si="2"/>
        <v>14</v>
      </c>
      <c r="G14" s="185">
        <f t="shared" si="3"/>
        <v>2.1571648690292759E-2</v>
      </c>
      <c r="H14" s="532">
        <f>12</f>
        <v>12</v>
      </c>
      <c r="I14" s="629">
        <f t="shared" si="4"/>
        <v>2.2813688212927757E-2</v>
      </c>
      <c r="J14" s="532">
        <f xml:space="preserve"> 1</f>
        <v>1</v>
      </c>
      <c r="K14" s="185">
        <f t="shared" si="5"/>
        <v>1.1494252873563218E-2</v>
      </c>
      <c r="L14" s="532">
        <f xml:space="preserve">  2</f>
        <v>2</v>
      </c>
      <c r="M14" s="185">
        <f t="shared" si="6"/>
        <v>1.6260162601626018E-2</v>
      </c>
    </row>
    <row r="15" spans="1:13" x14ac:dyDescent="0.25">
      <c r="A15" s="195" t="s">
        <v>111</v>
      </c>
      <c r="B15" s="25" t="s">
        <v>28</v>
      </c>
      <c r="C15" s="532">
        <f>12+ 258+45</f>
        <v>315</v>
      </c>
      <c r="D15" s="532">
        <f t="shared" si="0"/>
        <v>70</v>
      </c>
      <c r="E15" s="185">
        <f t="shared" si="1"/>
        <v>9.5108695652173919E-2</v>
      </c>
      <c r="F15" s="532">
        <f t="shared" si="2"/>
        <v>57</v>
      </c>
      <c r="G15" s="185">
        <f t="shared" si="3"/>
        <v>8.7827426810477657E-2</v>
      </c>
      <c r="H15" s="532">
        <f xml:space="preserve"> 1+ 38+ 4</f>
        <v>43</v>
      </c>
      <c r="I15" s="629">
        <f t="shared" si="4"/>
        <v>8.17490494296578E-2</v>
      </c>
      <c r="J15" s="532">
        <f>11+2</f>
        <v>13</v>
      </c>
      <c r="K15" s="185">
        <f t="shared" si="5"/>
        <v>0.14942528735632185</v>
      </c>
      <c r="L15" s="532">
        <f>13+1</f>
        <v>14</v>
      </c>
      <c r="M15" s="185">
        <f t="shared" si="6"/>
        <v>0.11382113821138211</v>
      </c>
    </row>
    <row r="16" spans="1:13" x14ac:dyDescent="0.25">
      <c r="A16" s="195" t="s">
        <v>112</v>
      </c>
      <c r="B16" s="25" t="s">
        <v>29</v>
      </c>
      <c r="C16" s="532">
        <f xml:space="preserve"> 79</f>
        <v>79</v>
      </c>
      <c r="D16" s="532">
        <f t="shared" si="0"/>
        <v>13</v>
      </c>
      <c r="E16" s="185">
        <f t="shared" si="1"/>
        <v>1.7663043478260868E-2</v>
      </c>
      <c r="F16" s="532">
        <f t="shared" si="2"/>
        <v>11</v>
      </c>
      <c r="G16" s="185">
        <f t="shared" si="3"/>
        <v>1.6949152542372881E-2</v>
      </c>
      <c r="H16" s="532">
        <f xml:space="preserve">  9</f>
        <v>9</v>
      </c>
      <c r="I16" s="629">
        <f t="shared" si="4"/>
        <v>1.7110266159695818E-2</v>
      </c>
      <c r="J16" s="532">
        <f xml:space="preserve"> 2</f>
        <v>2</v>
      </c>
      <c r="K16" s="185">
        <f t="shared" si="5"/>
        <v>2.2988505747126436E-2</v>
      </c>
      <c r="L16" s="532">
        <f>2</f>
        <v>2</v>
      </c>
      <c r="M16" s="185">
        <f t="shared" si="6"/>
        <v>1.6260162601626018E-2</v>
      </c>
    </row>
    <row r="17" spans="1:13" x14ac:dyDescent="0.25">
      <c r="A17" s="195" t="s">
        <v>76</v>
      </c>
      <c r="B17" s="25" t="s">
        <v>30</v>
      </c>
      <c r="C17" s="532">
        <f xml:space="preserve"> 29</f>
        <v>29</v>
      </c>
      <c r="D17" s="532">
        <f t="shared" si="0"/>
        <v>1</v>
      </c>
      <c r="E17" s="185">
        <f t="shared" si="1"/>
        <v>1.358695652173913E-3</v>
      </c>
      <c r="F17" s="532">
        <f t="shared" si="2"/>
        <v>1</v>
      </c>
      <c r="G17" s="185">
        <f t="shared" si="3"/>
        <v>1.5408320493066256E-3</v>
      </c>
      <c r="H17" s="532">
        <f xml:space="preserve">  1</f>
        <v>1</v>
      </c>
      <c r="I17" s="629">
        <f t="shared" si="4"/>
        <v>1.9011406844106464E-3</v>
      </c>
      <c r="J17" s="532">
        <f>0</f>
        <v>0</v>
      </c>
      <c r="K17" s="185">
        <f t="shared" si="5"/>
        <v>0</v>
      </c>
      <c r="L17" s="532">
        <f>0</f>
        <v>0</v>
      </c>
      <c r="M17" s="185">
        <f t="shared" si="6"/>
        <v>0</v>
      </c>
    </row>
    <row r="18" spans="1:13" x14ac:dyDescent="0.25">
      <c r="A18" s="195" t="s">
        <v>113</v>
      </c>
      <c r="B18" s="25" t="s">
        <v>606</v>
      </c>
      <c r="C18" s="532">
        <f xml:space="preserve"> 64+  160</f>
        <v>224</v>
      </c>
      <c r="D18" s="532">
        <f t="shared" si="0"/>
        <v>70</v>
      </c>
      <c r="E18" s="185">
        <f t="shared" si="1"/>
        <v>9.5108695652173919E-2</v>
      </c>
      <c r="F18" s="532">
        <f t="shared" si="2"/>
        <v>66</v>
      </c>
      <c r="G18" s="185">
        <f t="shared" si="3"/>
        <v>0.10169491525423729</v>
      </c>
      <c r="H18" s="532">
        <f xml:space="preserve"> 10+46</f>
        <v>56</v>
      </c>
      <c r="I18" s="629">
        <f t="shared" si="4"/>
        <v>0.10646387832699619</v>
      </c>
      <c r="J18" s="532">
        <f>4</f>
        <v>4</v>
      </c>
      <c r="K18" s="185">
        <f t="shared" si="5"/>
        <v>4.5977011494252873E-2</v>
      </c>
      <c r="L18" s="532">
        <f xml:space="preserve"> 1+ 9</f>
        <v>10</v>
      </c>
      <c r="M18" s="185">
        <f t="shared" si="6"/>
        <v>8.1300813008130079E-2</v>
      </c>
    </row>
    <row r="19" spans="1:13" x14ac:dyDescent="0.25">
      <c r="A19" s="195" t="s">
        <v>114</v>
      </c>
      <c r="B19" s="25" t="s">
        <v>32</v>
      </c>
      <c r="C19" s="532">
        <f xml:space="preserve"> 85</f>
        <v>85</v>
      </c>
      <c r="D19" s="532">
        <f t="shared" si="0"/>
        <v>11</v>
      </c>
      <c r="E19" s="185">
        <f t="shared" si="1"/>
        <v>1.4945652173913044E-2</v>
      </c>
      <c r="F19" s="532">
        <f t="shared" si="2"/>
        <v>8</v>
      </c>
      <c r="G19" s="185">
        <f t="shared" si="3"/>
        <v>1.2326656394453005E-2</v>
      </c>
      <c r="H19" s="532">
        <f xml:space="preserve">  5</f>
        <v>5</v>
      </c>
      <c r="I19" s="629">
        <f t="shared" si="4"/>
        <v>9.5057034220532317E-3</v>
      </c>
      <c r="J19" s="532">
        <f>3</f>
        <v>3</v>
      </c>
      <c r="K19" s="185">
        <f t="shared" si="5"/>
        <v>3.4482758620689655E-2</v>
      </c>
      <c r="L19" s="532">
        <f xml:space="preserve">  3</f>
        <v>3</v>
      </c>
      <c r="M19" s="185">
        <f t="shared" si="6"/>
        <v>2.4390243902439025E-2</v>
      </c>
    </row>
    <row r="20" spans="1:13" x14ac:dyDescent="0.25">
      <c r="A20" s="195" t="s">
        <v>115</v>
      </c>
      <c r="B20" s="25" t="s">
        <v>33</v>
      </c>
      <c r="C20" s="532">
        <f>29</f>
        <v>29</v>
      </c>
      <c r="D20" s="532">
        <f t="shared" si="0"/>
        <v>0</v>
      </c>
      <c r="E20" s="185">
        <f t="shared" si="1"/>
        <v>0</v>
      </c>
      <c r="F20" s="532">
        <f t="shared" si="2"/>
        <v>0</v>
      </c>
      <c r="G20" s="185">
        <f t="shared" si="3"/>
        <v>0</v>
      </c>
      <c r="H20" s="532">
        <f>0</f>
        <v>0</v>
      </c>
      <c r="I20" s="629">
        <f t="shared" si="4"/>
        <v>0</v>
      </c>
      <c r="J20" s="532">
        <v>0</v>
      </c>
      <c r="K20" s="185">
        <f t="shared" si="5"/>
        <v>0</v>
      </c>
      <c r="L20" s="532">
        <f>0</f>
        <v>0</v>
      </c>
      <c r="M20" s="185">
        <f t="shared" si="6"/>
        <v>0</v>
      </c>
    </row>
    <row r="21" spans="1:13" x14ac:dyDescent="0.25">
      <c r="A21" s="195" t="s">
        <v>116</v>
      </c>
      <c r="B21" s="25" t="s">
        <v>608</v>
      </c>
      <c r="C21" s="532">
        <f xml:space="preserve"> 64+73+172+  90</f>
        <v>399</v>
      </c>
      <c r="D21" s="532">
        <f t="shared" si="0"/>
        <v>180</v>
      </c>
      <c r="E21" s="185">
        <f t="shared" si="1"/>
        <v>0.24456521739130435</v>
      </c>
      <c r="F21" s="532">
        <f t="shared" si="2"/>
        <v>160</v>
      </c>
      <c r="G21" s="185">
        <f t="shared" si="3"/>
        <v>0.24653312788906009</v>
      </c>
      <c r="H21" s="532">
        <f xml:space="preserve"> 18+ 11+48+  52</f>
        <v>129</v>
      </c>
      <c r="I21" s="629">
        <f t="shared" si="4"/>
        <v>0.24524714828897337</v>
      </c>
      <c r="J21" s="532">
        <f xml:space="preserve"> 4+3+ 3+ 10</f>
        <v>20</v>
      </c>
      <c r="K21" s="185">
        <f t="shared" si="5"/>
        <v>0.22988505747126436</v>
      </c>
      <c r="L21" s="532">
        <f xml:space="preserve"> 1+1+  10+19</f>
        <v>31</v>
      </c>
      <c r="M21" s="185">
        <f t="shared" si="6"/>
        <v>0.25203252032520324</v>
      </c>
    </row>
    <row r="22" spans="1:13" x14ac:dyDescent="0.25">
      <c r="A22" s="195" t="s">
        <v>117</v>
      </c>
      <c r="B22" s="25" t="s">
        <v>35</v>
      </c>
      <c r="C22" s="532">
        <f xml:space="preserve">  47</f>
        <v>47</v>
      </c>
      <c r="D22" s="532">
        <f t="shared" si="0"/>
        <v>11</v>
      </c>
      <c r="E22" s="185">
        <f t="shared" si="1"/>
        <v>1.4945652173913044E-2</v>
      </c>
      <c r="F22" s="532">
        <f t="shared" si="2"/>
        <v>11</v>
      </c>
      <c r="G22" s="185">
        <f t="shared" si="3"/>
        <v>1.6949152542372881E-2</v>
      </c>
      <c r="H22" s="532">
        <f xml:space="preserve"> 8</f>
        <v>8</v>
      </c>
      <c r="I22" s="629">
        <f t="shared" si="4"/>
        <v>1.5209125475285171E-2</v>
      </c>
      <c r="J22" s="532">
        <f>0</f>
        <v>0</v>
      </c>
      <c r="K22" s="185">
        <f t="shared" si="5"/>
        <v>0</v>
      </c>
      <c r="L22" s="532">
        <f xml:space="preserve">  3</f>
        <v>3</v>
      </c>
      <c r="M22" s="185">
        <f t="shared" si="6"/>
        <v>2.4390243902439025E-2</v>
      </c>
    </row>
    <row r="23" spans="1:13" x14ac:dyDescent="0.25">
      <c r="A23" s="195" t="s">
        <v>118</v>
      </c>
      <c r="B23" s="25" t="s">
        <v>36</v>
      </c>
      <c r="C23" s="532">
        <v>0</v>
      </c>
      <c r="D23" s="532">
        <f t="shared" si="0"/>
        <v>0</v>
      </c>
      <c r="E23" s="185">
        <f t="shared" si="1"/>
        <v>0</v>
      </c>
      <c r="F23" s="532">
        <f t="shared" si="2"/>
        <v>0</v>
      </c>
      <c r="G23" s="185">
        <f t="shared" si="3"/>
        <v>0</v>
      </c>
      <c r="H23" s="532">
        <f>0</f>
        <v>0</v>
      </c>
      <c r="I23" s="629">
        <f t="shared" si="4"/>
        <v>0</v>
      </c>
      <c r="J23" s="532">
        <v>0</v>
      </c>
      <c r="K23" s="185">
        <f t="shared" si="5"/>
        <v>0</v>
      </c>
      <c r="L23" s="532">
        <f>0</f>
        <v>0</v>
      </c>
      <c r="M23" s="185">
        <f t="shared" si="6"/>
        <v>0</v>
      </c>
    </row>
    <row r="24" spans="1:13" x14ac:dyDescent="0.25">
      <c r="A24" s="195" t="s">
        <v>119</v>
      </c>
      <c r="B24" s="25" t="s">
        <v>37</v>
      </c>
      <c r="C24" s="532">
        <f>10</f>
        <v>10</v>
      </c>
      <c r="D24" s="532">
        <f t="shared" si="0"/>
        <v>4</v>
      </c>
      <c r="E24" s="185">
        <f t="shared" si="1"/>
        <v>5.434782608695652E-3</v>
      </c>
      <c r="F24" s="532">
        <f t="shared" si="2"/>
        <v>4</v>
      </c>
      <c r="G24" s="185">
        <f t="shared" si="3"/>
        <v>6.1633281972265025E-3</v>
      </c>
      <c r="H24" s="532">
        <f xml:space="preserve">  4</f>
        <v>4</v>
      </c>
      <c r="I24" s="629">
        <f t="shared" si="4"/>
        <v>7.6045627376425855E-3</v>
      </c>
      <c r="J24" s="532">
        <v>0</v>
      </c>
      <c r="K24" s="185">
        <f t="shared" si="5"/>
        <v>0</v>
      </c>
      <c r="L24" s="532">
        <f>0</f>
        <v>0</v>
      </c>
      <c r="M24" s="185">
        <f t="shared" si="6"/>
        <v>0</v>
      </c>
    </row>
    <row r="25" spans="1:13" x14ac:dyDescent="0.25">
      <c r="A25" s="195" t="s">
        <v>120</v>
      </c>
      <c r="B25" s="25" t="s">
        <v>38</v>
      </c>
      <c r="C25" s="532">
        <f xml:space="preserve"> 3+43</f>
        <v>46</v>
      </c>
      <c r="D25" s="532">
        <f t="shared" si="0"/>
        <v>11</v>
      </c>
      <c r="E25" s="185">
        <f t="shared" si="1"/>
        <v>1.4945652173913044E-2</v>
      </c>
      <c r="F25" s="532">
        <f t="shared" si="2"/>
        <v>10</v>
      </c>
      <c r="G25" s="185">
        <f t="shared" si="3"/>
        <v>1.5408320493066256E-2</v>
      </c>
      <c r="H25" s="532">
        <f>8</f>
        <v>8</v>
      </c>
      <c r="I25" s="629">
        <f t="shared" si="4"/>
        <v>1.5209125475285171E-2</v>
      </c>
      <c r="J25" s="532">
        <v>1</v>
      </c>
      <c r="K25" s="185">
        <f t="shared" si="5"/>
        <v>1.1494252873563218E-2</v>
      </c>
      <c r="L25" s="532">
        <v>2</v>
      </c>
      <c r="M25" s="185">
        <f t="shared" si="6"/>
        <v>1.6260162601626018E-2</v>
      </c>
    </row>
    <row r="26" spans="1:13" x14ac:dyDescent="0.25">
      <c r="A26" s="195" t="s">
        <v>121</v>
      </c>
      <c r="B26" s="25" t="s">
        <v>39</v>
      </c>
      <c r="C26" s="532">
        <f xml:space="preserve"> 12</f>
        <v>12</v>
      </c>
      <c r="D26" s="532">
        <f t="shared" si="0"/>
        <v>0</v>
      </c>
      <c r="E26" s="185">
        <f t="shared" si="1"/>
        <v>0</v>
      </c>
      <c r="F26" s="532">
        <f t="shared" si="2"/>
        <v>0</v>
      </c>
      <c r="G26" s="185">
        <f t="shared" si="3"/>
        <v>0</v>
      </c>
      <c r="H26" s="532">
        <v>0</v>
      </c>
      <c r="I26" s="629">
        <f t="shared" si="4"/>
        <v>0</v>
      </c>
      <c r="J26" s="532">
        <v>0</v>
      </c>
      <c r="K26" s="185">
        <f t="shared" si="5"/>
        <v>0</v>
      </c>
      <c r="L26" s="532">
        <f>0</f>
        <v>0</v>
      </c>
      <c r="M26" s="185">
        <f t="shared" si="6"/>
        <v>0</v>
      </c>
    </row>
    <row r="27" spans="1:13" x14ac:dyDescent="0.25">
      <c r="A27" s="196" t="s">
        <v>122</v>
      </c>
      <c r="B27" s="25" t="s">
        <v>40</v>
      </c>
      <c r="C27" s="532">
        <f xml:space="preserve">   22</f>
        <v>22</v>
      </c>
      <c r="D27" s="532">
        <f t="shared" si="0"/>
        <v>6</v>
      </c>
      <c r="E27" s="185">
        <f t="shared" si="1"/>
        <v>8.152173913043478E-3</v>
      </c>
      <c r="F27" s="532">
        <f t="shared" si="2"/>
        <v>4</v>
      </c>
      <c r="G27" s="185">
        <f t="shared" si="3"/>
        <v>6.1633281972265025E-3</v>
      </c>
      <c r="H27" s="532">
        <v>2</v>
      </c>
      <c r="I27" s="629">
        <f t="shared" si="4"/>
        <v>3.8022813688212928E-3</v>
      </c>
      <c r="J27" s="532">
        <v>2</v>
      </c>
      <c r="K27" s="185">
        <f t="shared" si="5"/>
        <v>2.2988505747126436E-2</v>
      </c>
      <c r="L27" s="532">
        <v>2</v>
      </c>
      <c r="M27" s="185">
        <f t="shared" si="6"/>
        <v>1.6260162601626018E-2</v>
      </c>
    </row>
    <row r="28" spans="1:13" x14ac:dyDescent="0.25">
      <c r="A28" s="613"/>
      <c r="B28" s="17" t="s">
        <v>8</v>
      </c>
      <c r="C28" s="504">
        <f>SUM(C9:C27)</f>
        <v>2304</v>
      </c>
      <c r="D28" s="504">
        <f t="shared" si="0"/>
        <v>736</v>
      </c>
      <c r="E28" s="186">
        <f t="shared" si="1"/>
        <v>1</v>
      </c>
      <c r="F28" s="504">
        <f>H28+L28</f>
        <v>649</v>
      </c>
      <c r="G28" s="186">
        <f t="shared" si="3"/>
        <v>1</v>
      </c>
      <c r="H28" s="504">
        <f>SUM(H9:H27)</f>
        <v>526</v>
      </c>
      <c r="I28" s="186">
        <f t="shared" si="4"/>
        <v>1</v>
      </c>
      <c r="J28" s="504">
        <f>SUM(J9:J27)</f>
        <v>87</v>
      </c>
      <c r="K28" s="186">
        <f t="shared" si="5"/>
        <v>1</v>
      </c>
      <c r="L28" s="504">
        <f>SUM(L9:L27)</f>
        <v>123</v>
      </c>
      <c r="M28" s="186">
        <f t="shared" si="6"/>
        <v>1</v>
      </c>
    </row>
    <row r="29" spans="1:13" x14ac:dyDescent="0.25">
      <c r="A29" s="170"/>
      <c r="B29" s="170" t="s">
        <v>678</v>
      </c>
      <c r="C29" s="170"/>
      <c r="D29" s="170"/>
      <c r="E29" s="170"/>
      <c r="F29" s="170"/>
      <c r="G29" s="170"/>
      <c r="H29" s="170"/>
      <c r="I29" s="170"/>
      <c r="J29" s="170"/>
      <c r="K29" s="170"/>
      <c r="L29" s="170"/>
      <c r="M29" s="170"/>
    </row>
    <row r="30" spans="1:13" x14ac:dyDescent="0.25">
      <c r="A30" s="170"/>
      <c r="B30" s="170" t="s">
        <v>604</v>
      </c>
      <c r="C30" s="170"/>
      <c r="D30" s="170"/>
      <c r="E30" s="170"/>
      <c r="F30" s="170"/>
      <c r="G30" s="170"/>
      <c r="H30" s="170"/>
      <c r="I30" s="170"/>
      <c r="J30" s="170"/>
      <c r="K30" s="170"/>
      <c r="L30" s="170"/>
      <c r="M30" s="170"/>
    </row>
    <row r="31" spans="1:13" x14ac:dyDescent="0.25">
      <c r="A31" s="170"/>
      <c r="B31" s="170" t="s">
        <v>607</v>
      </c>
      <c r="C31" s="170"/>
      <c r="D31" s="170"/>
      <c r="E31" s="170"/>
      <c r="F31" s="170"/>
      <c r="G31" s="170"/>
      <c r="H31" s="170"/>
      <c r="I31" s="170"/>
      <c r="J31" s="170"/>
      <c r="K31" s="170"/>
      <c r="L31" s="170"/>
      <c r="M31" s="170"/>
    </row>
    <row r="32" spans="1:13" x14ac:dyDescent="0.25">
      <c r="A32" s="170"/>
      <c r="B32" s="170" t="s">
        <v>609</v>
      </c>
      <c r="C32" s="170"/>
      <c r="D32" s="170"/>
      <c r="E32" s="170"/>
      <c r="F32" s="170"/>
      <c r="G32" s="170"/>
      <c r="H32" s="170"/>
      <c r="I32" s="170"/>
      <c r="J32" s="170"/>
      <c r="K32" s="170"/>
      <c r="L32" s="170"/>
      <c r="M32" s="170"/>
    </row>
    <row r="33" spans="1:13" x14ac:dyDescent="0.25">
      <c r="A33" s="170"/>
      <c r="B33" s="170"/>
      <c r="C33" s="170"/>
      <c r="D33" s="170"/>
      <c r="E33" s="170"/>
      <c r="F33" s="170"/>
      <c r="G33" s="170"/>
      <c r="H33" s="170"/>
      <c r="I33" s="170"/>
      <c r="J33" s="170"/>
      <c r="K33" s="170"/>
      <c r="L33" s="170"/>
      <c r="M33" s="170"/>
    </row>
    <row r="34" spans="1:13" x14ac:dyDescent="0.25">
      <c r="A34" s="170"/>
      <c r="B34" s="170"/>
      <c r="C34" s="170"/>
      <c r="D34" s="170"/>
    </row>
  </sheetData>
  <sheetProtection password="C69F" sheet="1" objects="1" scenarios="1"/>
  <mergeCells count="7">
    <mergeCell ref="B6:M6"/>
    <mergeCell ref="C7:C8"/>
    <mergeCell ref="D7:E7"/>
    <mergeCell ref="H7:I7"/>
    <mergeCell ref="J7:K7"/>
    <mergeCell ref="L7:M7"/>
    <mergeCell ref="F7:G7"/>
  </mergeCells>
  <hyperlinks>
    <hyperlink ref="A1" location="ÍNDICE!A1" display="ÍNDICE"/>
  </hyperlinks>
  <pageMargins left="0.7" right="0.7" top="0.75" bottom="0.75" header="0.3" footer="0.3"/>
  <ignoredErrors>
    <ignoredError sqref="K17"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T42"/>
  <sheetViews>
    <sheetView zoomScale="90" zoomScaleNormal="90" workbookViewId="0"/>
  </sheetViews>
  <sheetFormatPr baseColWidth="10" defaultRowHeight="15" x14ac:dyDescent="0.25"/>
  <cols>
    <col min="2" max="2" width="17" customWidth="1"/>
    <col min="3" max="3" width="13.28515625" bestFit="1" customWidth="1"/>
    <col min="4" max="4" width="11.42578125" customWidth="1"/>
    <col min="5" max="9" width="13.28515625" bestFit="1" customWidth="1"/>
    <col min="10" max="10" width="10" customWidth="1"/>
    <col min="11" max="11" width="13.42578125" bestFit="1" customWidth="1"/>
    <col min="12" max="12" width="15.28515625" bestFit="1" customWidth="1"/>
  </cols>
  <sheetData>
    <row r="1" spans="1:20" x14ac:dyDescent="0.25">
      <c r="A1" s="59" t="s">
        <v>132</v>
      </c>
    </row>
    <row r="2" spans="1:20" x14ac:dyDescent="0.25">
      <c r="A2" s="1" t="s">
        <v>245</v>
      </c>
    </row>
    <row r="3" spans="1:20" s="64" customFormat="1" x14ac:dyDescent="0.25"/>
    <row r="4" spans="1:20" x14ac:dyDescent="0.25">
      <c r="A4" s="58" t="s">
        <v>103</v>
      </c>
      <c r="B4" t="s">
        <v>626</v>
      </c>
    </row>
    <row r="6" spans="1:20" ht="15" customHeight="1" x14ac:dyDescent="0.25">
      <c r="B6" s="673" t="s">
        <v>620</v>
      </c>
      <c r="C6" s="673"/>
      <c r="D6" s="673"/>
      <c r="E6" s="673"/>
      <c r="F6" s="673"/>
      <c r="G6" s="673"/>
      <c r="H6" s="673"/>
      <c r="I6" s="673"/>
      <c r="J6" s="75"/>
      <c r="L6" s="673" t="s">
        <v>621</v>
      </c>
      <c r="M6" s="673"/>
      <c r="N6" s="673"/>
      <c r="O6" s="673"/>
      <c r="P6" s="673"/>
      <c r="Q6" s="673"/>
      <c r="R6" s="673"/>
      <c r="S6" s="673"/>
      <c r="T6" s="75"/>
    </row>
    <row r="7" spans="1:20" ht="15.75" thickBot="1" x14ac:dyDescent="0.3">
      <c r="B7" s="69"/>
      <c r="C7" s="71">
        <v>2007</v>
      </c>
      <c r="D7" s="71">
        <v>2008</v>
      </c>
      <c r="E7" s="71">
        <v>2009</v>
      </c>
      <c r="F7" s="71">
        <v>2010</v>
      </c>
      <c r="G7" s="71">
        <v>2011</v>
      </c>
      <c r="H7" s="71">
        <v>2012</v>
      </c>
      <c r="I7" s="71">
        <v>2013</v>
      </c>
      <c r="J7" s="71" t="s">
        <v>447</v>
      </c>
      <c r="L7" s="69"/>
      <c r="M7" s="71">
        <v>2007</v>
      </c>
      <c r="N7" s="71">
        <v>2008</v>
      </c>
      <c r="O7" s="71">
        <v>2009</v>
      </c>
      <c r="P7" s="71">
        <v>2010</v>
      </c>
      <c r="Q7" s="71">
        <v>2011</v>
      </c>
      <c r="R7" s="71">
        <v>2012</v>
      </c>
      <c r="S7" s="71">
        <v>2013</v>
      </c>
      <c r="T7" s="71" t="s">
        <v>447</v>
      </c>
    </row>
    <row r="8" spans="1:20" ht="15.75" thickTop="1" x14ac:dyDescent="0.25">
      <c r="B8" s="540" t="s">
        <v>7</v>
      </c>
      <c r="C8" s="541">
        <f>(97512.147)*'ANEXO 1'!C6</f>
        <v>121171.51922660999</v>
      </c>
      <c r="D8" s="541">
        <f>(142246.932)*'ANEXO 1'!D6</f>
        <v>165053.38260756002</v>
      </c>
      <c r="E8" s="541">
        <f>(99801.69)*'ANEXO 1'!E6</f>
        <v>117423.67440329998</v>
      </c>
      <c r="F8" s="541">
        <f>(108821.5)*'ANEXO 1'!F6</f>
        <v>124339.44590000001</v>
      </c>
      <c r="G8" s="541">
        <f>(145976.2)*'ANEXO 1'!G6</f>
        <v>159705.26161000002</v>
      </c>
      <c r="H8" s="541">
        <f>(162045.8)*'ANEXO 1'!H6</f>
        <v>174690.23377399999</v>
      </c>
      <c r="I8" s="541">
        <f>(187574.507)*'ANEXO 1'!I6</f>
        <v>196291.09434029</v>
      </c>
      <c r="J8" s="541">
        <v>186945.19099999999</v>
      </c>
      <c r="L8" s="540" t="s">
        <v>7</v>
      </c>
      <c r="M8" s="546">
        <f>C8/C$13</f>
        <v>0.34728430065955529</v>
      </c>
      <c r="N8" s="546">
        <f t="shared" ref="M8:T11" si="0">D8/D$13</f>
        <v>0.40419928612234801</v>
      </c>
      <c r="O8" s="546">
        <f t="shared" si="0"/>
        <v>0.29322690548228453</v>
      </c>
      <c r="P8" s="546">
        <f t="shared" si="0"/>
        <v>0.29619926383004075</v>
      </c>
      <c r="Q8" s="546">
        <f t="shared" si="0"/>
        <v>0.34044487900585851</v>
      </c>
      <c r="R8" s="546">
        <f t="shared" si="0"/>
        <v>0.34676861612719073</v>
      </c>
      <c r="S8" s="546">
        <f t="shared" si="0"/>
        <v>0.3500018148082622</v>
      </c>
      <c r="T8" s="546">
        <f t="shared" si="0"/>
        <v>0.33488343059061693</v>
      </c>
    </row>
    <row r="9" spans="1:20" x14ac:dyDescent="0.25">
      <c r="B9" s="542" t="s">
        <v>5</v>
      </c>
      <c r="C9" s="543">
        <f>(27688.075)*'ANEXO 1'!C6</f>
        <v>34406.032637249999</v>
      </c>
      <c r="D9" s="543">
        <f>(34044.539)*'ANEXO 1'!D6</f>
        <v>39502.899937870003</v>
      </c>
      <c r="E9" s="543">
        <f>(11353.95)*'ANEXO 1'!E6</f>
        <v>13358.716951500001</v>
      </c>
      <c r="F9" s="543">
        <f>(13548.95)*'ANEXO 1'!F6</f>
        <v>15481.030270000001</v>
      </c>
      <c r="G9" s="543">
        <f>(17043.61)*'ANEXO 1'!G6</f>
        <v>18646.561520499999</v>
      </c>
      <c r="H9" s="543">
        <f>(19187.26)*'ANEXO 1'!H6</f>
        <v>20684.441897799999</v>
      </c>
      <c r="I9" s="543">
        <f>(45004.485)*'ANEXO 1'!I6</f>
        <v>47095.843417950004</v>
      </c>
      <c r="J9" s="543">
        <f xml:space="preserve"> 45383.446</f>
        <v>45383.446000000004</v>
      </c>
      <c r="L9" s="542" t="s">
        <v>5</v>
      </c>
      <c r="M9" s="547">
        <f t="shared" si="0"/>
        <v>9.8609599509528967E-2</v>
      </c>
      <c r="N9" s="547">
        <f t="shared" si="0"/>
        <v>9.6738665408716409E-2</v>
      </c>
      <c r="O9" s="547">
        <f t="shared" si="0"/>
        <v>3.335899044896519E-2</v>
      </c>
      <c r="P9" s="547">
        <f t="shared" si="0"/>
        <v>3.687864085378377E-2</v>
      </c>
      <c r="Q9" s="547">
        <f t="shared" si="0"/>
        <v>3.9749012128504776E-2</v>
      </c>
      <c r="R9" s="547">
        <f t="shared" si="0"/>
        <v>4.1059623868514965E-2</v>
      </c>
      <c r="S9" s="547">
        <f t="shared" si="0"/>
        <v>8.3975438221523438E-2</v>
      </c>
      <c r="T9" s="547">
        <f t="shared" si="0"/>
        <v>8.1297432724567992E-2</v>
      </c>
    </row>
    <row r="10" spans="1:20" x14ac:dyDescent="0.25">
      <c r="B10" s="542" t="s">
        <v>51</v>
      </c>
      <c r="C10" s="543">
        <f>(120847.179)*'ANEXO 1'!C6</f>
        <v>150168.33004077</v>
      </c>
      <c r="D10" s="543">
        <f>(143635.295)*'ANEXO 1'!D6</f>
        <v>166664.34184735004</v>
      </c>
      <c r="E10" s="543">
        <f>(135499.6)*'ANEXO 1'!E6</f>
        <v>159424.76437200001</v>
      </c>
      <c r="F10" s="543">
        <f>(141550.4)*'ANEXO 1'!F6</f>
        <v>161735.48704000001</v>
      </c>
      <c r="G10" s="543">
        <f>(138967.7)*'ANEXO 1'!G6</f>
        <v>152037.61218500001</v>
      </c>
      <c r="H10" s="543">
        <f>(157919.128079848)*'ANEXO 1'!H6</f>
        <v>170241.55764391852</v>
      </c>
      <c r="I10" s="543">
        <f>(210744.067)*'ANEXO 1'!I6</f>
        <v>220537.34379349</v>
      </c>
      <c r="J10" s="543">
        <f>217120.683</f>
        <v>217120.68299999999</v>
      </c>
      <c r="L10" s="542" t="s">
        <v>51</v>
      </c>
      <c r="M10" s="547">
        <f t="shared" si="0"/>
        <v>0.43039077014369398</v>
      </c>
      <c r="N10" s="547">
        <f t="shared" si="0"/>
        <v>0.40814436476544091</v>
      </c>
      <c r="O10" s="547">
        <f t="shared" si="0"/>
        <v>0.3981107775037413</v>
      </c>
      <c r="P10" s="547">
        <f t="shared" si="0"/>
        <v>0.38528346213613857</v>
      </c>
      <c r="Q10" s="547">
        <f t="shared" si="0"/>
        <v>0.32409969441746284</v>
      </c>
      <c r="R10" s="547">
        <f t="shared" si="0"/>
        <v>0.33793777749414966</v>
      </c>
      <c r="S10" s="547">
        <f t="shared" si="0"/>
        <v>0.39323470491687867</v>
      </c>
      <c r="T10" s="547">
        <f t="shared" si="0"/>
        <v>0.3889381630320613</v>
      </c>
    </row>
    <row r="11" spans="1:20" x14ac:dyDescent="0.25">
      <c r="B11" s="542" t="s">
        <v>6</v>
      </c>
      <c r="C11" s="543">
        <f>(34737.382)*'ANEXO 1'!C6</f>
        <v>43165.712994659996</v>
      </c>
      <c r="D11" s="543">
        <f>(31996.003)*'ANEXO 1'!D6</f>
        <v>37125.922160990005</v>
      </c>
      <c r="E11" s="543">
        <f>(35464)*'ANEXO 1'!E6</f>
        <v>41725.878479999999</v>
      </c>
      <c r="F11" s="543">
        <f>(37448.24)*'ANEXO 1'!F6</f>
        <v>42788.359023999998</v>
      </c>
      <c r="G11" s="543">
        <f>(41779.81)*'ANEXO 1'!G6</f>
        <v>45709.201130499998</v>
      </c>
      <c r="H11" s="543">
        <f>(52149.644)*'ANEXO 1'!H6</f>
        <v>56218.880721320005</v>
      </c>
      <c r="I11" s="543">
        <f>( 22390.638)*'ANEXO 1'!I6</f>
        <v>23431.130947859998</v>
      </c>
      <c r="J11" s="543">
        <f xml:space="preserve"> 42966.548</f>
        <v>42966.548000000003</v>
      </c>
      <c r="L11" s="542" t="s">
        <v>6</v>
      </c>
      <c r="M11" s="547">
        <f t="shared" si="0"/>
        <v>0.12371532968722168</v>
      </c>
      <c r="N11" s="547">
        <f t="shared" si="0"/>
        <v>9.0917683703494609E-2</v>
      </c>
      <c r="O11" s="547">
        <f t="shared" si="0"/>
        <v>0.10419662208148718</v>
      </c>
      <c r="P11" s="547">
        <f t="shared" si="0"/>
        <v>0.10192968411325597</v>
      </c>
      <c r="Q11" s="547">
        <f t="shared" si="0"/>
        <v>9.743863972577553E-2</v>
      </c>
      <c r="R11" s="547">
        <f t="shared" si="0"/>
        <v>0.1115972143764643</v>
      </c>
      <c r="S11" s="547">
        <f t="shared" si="0"/>
        <v>4.1779472381685841E-2</v>
      </c>
      <c r="T11" s="547">
        <f t="shared" si="0"/>
        <v>7.6967933317291973E-2</v>
      </c>
    </row>
    <row r="12" spans="1:20" x14ac:dyDescent="0.25">
      <c r="B12" s="542" t="s">
        <v>178</v>
      </c>
      <c r="C12" s="544" t="s">
        <v>128</v>
      </c>
      <c r="D12" s="544" t="s">
        <v>128</v>
      </c>
      <c r="E12" s="543">
        <f>(58237.283)*'ANEXO 1'!E6</f>
        <v>68520.240059310003</v>
      </c>
      <c r="F12" s="543">
        <f>(66023.7880000001)*'ANEXO 1'!F6</f>
        <v>75438.78016880012</v>
      </c>
      <c r="G12" s="543">
        <f>(85013.399)*'ANEXO 1'!G6</f>
        <v>93008.909175950001</v>
      </c>
      <c r="H12" s="543">
        <f>(76000.549)*'ANEXO 1'!H6</f>
        <v>81930.871838470004</v>
      </c>
      <c r="I12" s="543">
        <f>(70210.687)*'ANEXO 1'!I6</f>
        <v>73473.37762489001</v>
      </c>
      <c r="J12" s="543">
        <v>65823.728000000003</v>
      </c>
      <c r="L12" s="542" t="s">
        <v>178</v>
      </c>
      <c r="M12" s="614" t="s">
        <v>128</v>
      </c>
      <c r="N12" s="614" t="s">
        <v>128</v>
      </c>
      <c r="O12" s="547">
        <f t="shared" ref="O12:T13" si="1">E12/E$13</f>
        <v>0.17110670448352183</v>
      </c>
      <c r="P12" s="547">
        <f t="shared" si="1"/>
        <v>0.179708949066781</v>
      </c>
      <c r="Q12" s="547">
        <f t="shared" si="1"/>
        <v>0.19826777472239837</v>
      </c>
      <c r="R12" s="547">
        <f t="shared" si="1"/>
        <v>0.16263676813368044</v>
      </c>
      <c r="S12" s="547">
        <f t="shared" si="1"/>
        <v>0.13100856967164981</v>
      </c>
      <c r="T12" s="547">
        <f t="shared" si="1"/>
        <v>0.117913040335462</v>
      </c>
    </row>
    <row r="13" spans="1:20" x14ac:dyDescent="0.25">
      <c r="B13" s="70" t="s">
        <v>8</v>
      </c>
      <c r="C13" s="545">
        <f>SUM(C8:C11)</f>
        <v>348911.59489929001</v>
      </c>
      <c r="D13" s="545">
        <f>SUM(D8:D12)</f>
        <v>408346.54655377008</v>
      </c>
      <c r="E13" s="545">
        <f>SUM(E8:E12)</f>
        <v>400453.27426610998</v>
      </c>
      <c r="F13" s="545">
        <f t="shared" ref="F13:J13" si="2">SUM(F8:F12)</f>
        <v>419783.10240280011</v>
      </c>
      <c r="G13" s="545">
        <f t="shared" si="2"/>
        <v>469107.54562195</v>
      </c>
      <c r="H13" s="545">
        <f t="shared" si="2"/>
        <v>503765.98587550846</v>
      </c>
      <c r="I13" s="545">
        <f t="shared" si="2"/>
        <v>560828.79012448003</v>
      </c>
      <c r="J13" s="545">
        <f t="shared" si="2"/>
        <v>558239.5959999999</v>
      </c>
      <c r="L13" s="70" t="s">
        <v>8</v>
      </c>
      <c r="M13" s="548">
        <f>C13/C$13</f>
        <v>1</v>
      </c>
      <c r="N13" s="548">
        <f>D13/D$13</f>
        <v>1</v>
      </c>
      <c r="O13" s="548">
        <f t="shared" si="1"/>
        <v>1</v>
      </c>
      <c r="P13" s="548">
        <f t="shared" si="1"/>
        <v>1</v>
      </c>
      <c r="Q13" s="548">
        <f t="shared" si="1"/>
        <v>1</v>
      </c>
      <c r="R13" s="548">
        <f t="shared" si="1"/>
        <v>1</v>
      </c>
      <c r="S13" s="548">
        <f t="shared" si="1"/>
        <v>1</v>
      </c>
      <c r="T13" s="548">
        <f t="shared" si="1"/>
        <v>1</v>
      </c>
    </row>
    <row r="16" spans="1:20" x14ac:dyDescent="0.25">
      <c r="K16" s="56"/>
    </row>
    <row r="42" spans="2:2" x14ac:dyDescent="0.25">
      <c r="B42" t="s">
        <v>440</v>
      </c>
    </row>
  </sheetData>
  <sheetProtection password="C69F" sheet="1" objects="1" scenarios="1"/>
  <mergeCells count="2">
    <mergeCell ref="B6:I6"/>
    <mergeCell ref="L6:S6"/>
  </mergeCells>
  <hyperlinks>
    <hyperlink ref="A1" location="ÍNDICE!A1" display="Í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37</vt:i4>
      </vt:variant>
    </vt:vector>
  </HeadingPairs>
  <TitlesOfParts>
    <vt:vector size="37" baseType="lpstr">
      <vt:lpstr>ÍNDICE</vt:lpstr>
      <vt:lpstr>I.1</vt:lpstr>
      <vt:lpstr>I.2</vt:lpstr>
      <vt:lpstr>I.3</vt:lpstr>
      <vt:lpstr>B.1</vt:lpstr>
      <vt:lpstr>B.2</vt:lpstr>
      <vt:lpstr>C.1</vt:lpstr>
      <vt:lpstr>C.2</vt:lpstr>
      <vt:lpstr>C.3</vt:lpstr>
      <vt:lpstr>C.4</vt:lpstr>
      <vt:lpstr>C.5</vt:lpstr>
      <vt:lpstr>C.6</vt:lpstr>
      <vt:lpstr>C.7</vt:lpstr>
      <vt:lpstr>C.8</vt:lpstr>
      <vt:lpstr>C.9</vt:lpstr>
      <vt:lpstr>C.10</vt:lpstr>
      <vt:lpstr>C.11</vt:lpstr>
      <vt:lpstr>C.12</vt:lpstr>
      <vt:lpstr>C.13</vt:lpstr>
      <vt:lpstr>C.14</vt:lpstr>
      <vt:lpstr>C.15</vt:lpstr>
      <vt:lpstr>C.16</vt:lpstr>
      <vt:lpstr>C.17</vt:lpstr>
      <vt:lpstr>D.1</vt:lpstr>
      <vt:lpstr>D.2</vt:lpstr>
      <vt:lpstr>D.3</vt:lpstr>
      <vt:lpstr>D.4</vt:lpstr>
      <vt:lpstr>D.5</vt:lpstr>
      <vt:lpstr>D.6</vt:lpstr>
      <vt:lpstr>D.7</vt:lpstr>
      <vt:lpstr>D.8</vt:lpstr>
      <vt:lpstr>D.9</vt:lpstr>
      <vt:lpstr>D.10</vt:lpstr>
      <vt:lpstr>D.11</vt:lpstr>
      <vt:lpstr>D.12</vt:lpstr>
      <vt:lpstr>ANEXO 1</vt:lpstr>
      <vt:lpstr>ANEXO 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De Jesús Cabello Iturra - Alumno en Práctica</dc:creator>
  <cp:lastModifiedBy>Antonio Martner Sota</cp:lastModifiedBy>
  <dcterms:created xsi:type="dcterms:W3CDTF">2015-02-10T19:06:17Z</dcterms:created>
  <dcterms:modified xsi:type="dcterms:W3CDTF">2016-02-29T14:25:29Z</dcterms:modified>
</cp:coreProperties>
</file>