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740" windowHeight="6600" firstSheet="1" activeTab="2"/>
  </bookViews>
  <sheets>
    <sheet name="Evaluación por Razones" sheetId="1" r:id="rId1"/>
    <sheet name="Evaluación Flujos de Caja" sheetId="2" r:id="rId2"/>
    <sheet name="Sector Telecomunicaciones" sheetId="3" r:id="rId3"/>
  </sheets>
  <externalReferences>
    <externalReference r:id="rId6"/>
  </externalReferences>
  <definedNames>
    <definedName name="_xlnm.Print_Area" localSheetId="1">'Evaluación Flujos de Caja'!$B$2:$O$38</definedName>
    <definedName name="_xlnm.Print_Area" localSheetId="0">'Evaluación por Razones'!$B$1:$H$62</definedName>
    <definedName name="_xlnm.Print_Area" localSheetId="2">'Sector Telecomunicaciones'!$A$1:$O$129</definedName>
  </definedNames>
  <calcPr fullCalcOnLoad="1"/>
</workbook>
</file>

<file path=xl/sharedStrings.xml><?xml version="1.0" encoding="utf-8"?>
<sst xmlns="http://schemas.openxmlformats.org/spreadsheetml/2006/main" count="331" uniqueCount="184">
  <si>
    <t>(1) RAZONES FINANCIERAS</t>
  </si>
  <si>
    <t>Año Histórico</t>
  </si>
  <si>
    <t>Año 1e</t>
  </si>
  <si>
    <t>Año2e</t>
  </si>
  <si>
    <t>Año3e</t>
  </si>
  <si>
    <t>Año4e</t>
  </si>
  <si>
    <t xml:space="preserve"> </t>
  </si>
  <si>
    <t>Estado de Resultados</t>
  </si>
  <si>
    <t>mmCh$</t>
  </si>
  <si>
    <t>Resultado Operacional</t>
  </si>
  <si>
    <t>Depreciación</t>
  </si>
  <si>
    <t>EBITDA</t>
  </si>
  <si>
    <t>Número de Acciones (mill)</t>
  </si>
  <si>
    <t>Margen EBITDA</t>
  </si>
  <si>
    <t>Ingresos Financieros</t>
  </si>
  <si>
    <t>Gastos Financieros</t>
  </si>
  <si>
    <t>Otros Ingresos Neto</t>
  </si>
  <si>
    <t>Resultado antes de Impuesto</t>
  </si>
  <si>
    <t>Impuesto</t>
  </si>
  <si>
    <t>%Impuesto</t>
  </si>
  <si>
    <t>Interes Minoritario</t>
  </si>
  <si>
    <t>Utilidad del Ejercicio</t>
  </si>
  <si>
    <t>U/ACCION</t>
  </si>
  <si>
    <t>Evaluación</t>
  </si>
  <si>
    <t>Escenario 1</t>
  </si>
  <si>
    <t>Escenario 2</t>
  </si>
  <si>
    <t>Escenario 3</t>
  </si>
  <si>
    <t>P/U por Acción Equilibrio</t>
  </si>
  <si>
    <t>(2) EVALUACIÖN POR FLUJOS DE CAJA</t>
  </si>
  <si>
    <t>Año5e</t>
  </si>
  <si>
    <t>Año6e</t>
  </si>
  <si>
    <t>Año7e</t>
  </si>
  <si>
    <t>Año8e</t>
  </si>
  <si>
    <t>Año9e</t>
  </si>
  <si>
    <t>Año10e</t>
  </si>
  <si>
    <t>Depreciaciòn</t>
  </si>
  <si>
    <t>Inversiòn en Capital de Trabajo</t>
  </si>
  <si>
    <t>Inversiones</t>
  </si>
  <si>
    <t>TELEFONICA</t>
  </si>
  <si>
    <t>Telefonía Básica</t>
  </si>
  <si>
    <t>Banda Ancha</t>
  </si>
  <si>
    <t>SECTOR TELECOMUNICACIONES</t>
  </si>
  <si>
    <t>Comunicaciones móviles</t>
  </si>
  <si>
    <t>(Cifras en millones de Ch$ al 31.12.04)</t>
  </si>
  <si>
    <t xml:space="preserve">  Renta fija</t>
  </si>
  <si>
    <t xml:space="preserve">  Renta variable</t>
  </si>
  <si>
    <t xml:space="preserve">  Conexiones y otras instalaciones</t>
  </si>
  <si>
    <t xml:space="preserve">  Planes de minutos (flexibilidad)</t>
  </si>
  <si>
    <t xml:space="preserve">  Servicios de valor agregado</t>
  </si>
  <si>
    <t xml:space="preserve">  Otros ingresos telefonía básica</t>
  </si>
  <si>
    <t>Cargos de Acceso e Interconexiones</t>
  </si>
  <si>
    <t xml:space="preserve">  Larga distancia nacional</t>
  </si>
  <si>
    <t xml:space="preserve">  Larga distancia internacional</t>
  </si>
  <si>
    <t xml:space="preserve">  Otros servicios de interconexión</t>
  </si>
  <si>
    <t>Otros negocios de Telecomunicaciones Fijas</t>
  </si>
  <si>
    <t xml:space="preserve">  Avisos en guías telefónicas</t>
  </si>
  <si>
    <t xml:space="preserve">   ISP- conmutado y dedicado</t>
  </si>
  <si>
    <t xml:space="preserve">  Telemergencia</t>
  </si>
  <si>
    <t xml:space="preserve">  Teléfonos públicos</t>
  </si>
  <si>
    <t xml:space="preserve">   Instalaciones interiores</t>
  </si>
  <si>
    <t xml:space="preserve">   Comercialización de equipos</t>
  </si>
  <si>
    <t xml:space="preserve">  Servicio internacional</t>
  </si>
  <si>
    <t xml:space="preserve">  Arriendo de medios y circuitos</t>
  </si>
  <si>
    <t/>
  </si>
  <si>
    <t xml:space="preserve">  Equipos terminales</t>
  </si>
  <si>
    <t xml:space="preserve">  Servicios complementarios</t>
  </si>
  <si>
    <t xml:space="preserve">  Servicios de datos</t>
  </si>
  <si>
    <t xml:space="preserve">  Circuitos y otros</t>
  </si>
  <si>
    <t>Interconexión CPP</t>
  </si>
  <si>
    <t>Remuneraciones</t>
  </si>
  <si>
    <t>Margen Operacional</t>
  </si>
  <si>
    <t>Ingresos financieros</t>
  </si>
  <si>
    <t>Otros ingresos fuera de la explotación</t>
  </si>
  <si>
    <t>Resultado inversión emp. relacionadas</t>
  </si>
  <si>
    <t>Gastos financieros</t>
  </si>
  <si>
    <t>Amortiz. menor valor inv.</t>
  </si>
  <si>
    <t>Otros egresos fuera explotación</t>
  </si>
  <si>
    <t>Corrección monetaria</t>
  </si>
  <si>
    <t>TOTAL RESULTADO NO OPERACIONAL</t>
  </si>
  <si>
    <t>Impuestos a la renta</t>
  </si>
  <si>
    <t>Interés minoritario</t>
  </si>
  <si>
    <t>UTILIDAD NETA</t>
  </si>
  <si>
    <t>IV Trim</t>
  </si>
  <si>
    <t>Lineas Fijas en servicio</t>
  </si>
  <si>
    <t>Linesa  Fijas en Promedio enServicio</t>
  </si>
  <si>
    <t>Conexiones (líneas)</t>
  </si>
  <si>
    <t>Tráfico Local (millones de minutos)</t>
  </si>
  <si>
    <t>Tráfico de cargos de acceso (millones de minutos)</t>
  </si>
  <si>
    <t>Tráfino LDN de voz (millones de minutos)</t>
  </si>
  <si>
    <t>Tráfico de salida LDI de salida de voz (millones de minutos)</t>
  </si>
  <si>
    <t>Líneas ADSL en servicio</t>
  </si>
  <si>
    <t>I.- Cifras Físicas</t>
  </si>
  <si>
    <t>III.- Ingresos Operacionales</t>
  </si>
  <si>
    <t>IV.-Costos Operacionales</t>
  </si>
  <si>
    <t>V.- Resultado Operacional</t>
  </si>
  <si>
    <t>VI.- Depreciación</t>
  </si>
  <si>
    <t>VII.-Resultado no Operacional</t>
  </si>
  <si>
    <t>VIII.- Resultado antes de Impuesto</t>
  </si>
  <si>
    <t>Cargo Fijo</t>
  </si>
  <si>
    <t>Cargo Variable</t>
  </si>
  <si>
    <t>Conexiones</t>
  </si>
  <si>
    <t>Larga Distancia Nacional</t>
  </si>
  <si>
    <t>Larga Distancia Internacional</t>
  </si>
  <si>
    <t>Bienes y Servicios</t>
  </si>
  <si>
    <t>Transferencias Intercompañías</t>
  </si>
  <si>
    <t>Comunicaciones de Empresas</t>
  </si>
  <si>
    <t>Larga distancia</t>
  </si>
  <si>
    <t>Otros</t>
  </si>
  <si>
    <t>Móviles</t>
  </si>
  <si>
    <t xml:space="preserve"> II.-Precios</t>
  </si>
  <si>
    <t>a.-Telecomunicaciones Fijas</t>
  </si>
  <si>
    <t>b.-Larga Distancia</t>
  </si>
  <si>
    <t>c.-Comunicaciones Empresas</t>
  </si>
  <si>
    <t xml:space="preserve">d.-Otros Negocios </t>
  </si>
  <si>
    <t>e.- Comunicaciones Móviles</t>
  </si>
  <si>
    <t>Tsas Impuesto</t>
  </si>
  <si>
    <t>Costo Operacional</t>
  </si>
  <si>
    <t>Ingreso Operacional</t>
  </si>
  <si>
    <t>Precio Acción Hoy</t>
  </si>
  <si>
    <t>Patrimonio Bursatil</t>
  </si>
  <si>
    <t>Deuda Neta</t>
  </si>
  <si>
    <t xml:space="preserve"> EV (valor activos)</t>
  </si>
  <si>
    <t>Valor Económico Esperado por Acción</t>
  </si>
  <si>
    <t>EV/EBITDA  Equilibrio</t>
  </si>
  <si>
    <t>Flujo Activos</t>
  </si>
  <si>
    <t>Valor Residual</t>
  </si>
  <si>
    <t>VALOR DE ACTIVOS</t>
  </si>
  <si>
    <t>Tasa libre de riesgo</t>
  </si>
  <si>
    <t>Premio por riesgo</t>
  </si>
  <si>
    <t>Tasa de Descuento Patrimonio</t>
  </si>
  <si>
    <t>Tasa Deuda</t>
  </si>
  <si>
    <t>Deuda Total/Activos Totales</t>
  </si>
  <si>
    <t>Tasa de Descuento Activos</t>
  </si>
  <si>
    <t>Valor Activos</t>
  </si>
  <si>
    <t>Valor Deuda</t>
  </si>
  <si>
    <t>Valor Patrimonio</t>
  </si>
  <si>
    <t>Nacciones</t>
  </si>
  <si>
    <t>Valor Acción</t>
  </si>
  <si>
    <t>Beta Telefónica</t>
  </si>
  <si>
    <t xml:space="preserve">  </t>
  </si>
  <si>
    <t xml:space="preserve">  Transferencias intercompañías</t>
  </si>
  <si>
    <t>Gastos Financieros Netos</t>
  </si>
  <si>
    <t>Valor Contable Activos</t>
  </si>
  <si>
    <t>Otras Razones Relevantes</t>
  </si>
  <si>
    <t>ROA</t>
  </si>
  <si>
    <t>ROE</t>
  </si>
  <si>
    <t>ROCE</t>
  </si>
  <si>
    <t>ROIC</t>
  </si>
  <si>
    <t xml:space="preserve">Dato Balance 2004 y Proyección de 1% de crecimiento al año en base a  crecimiento histórico. </t>
  </si>
  <si>
    <t xml:space="preserve">Dato Balance 2004 y Proyección de 3% de crecimiento al año en base a  crecimiento histórico. </t>
  </si>
  <si>
    <t xml:space="preserve">Dato Balance 2004 y Proyección propia de crecimiento de 20% el 2005, 15% el 2006, 10% el 2007 y 5,5% en adelante con la preoyección de crecimiento economía. 3% de crecimiento al año en base a  crecimiento histórico. </t>
  </si>
  <si>
    <t>Dato obtenido en base al los Ingresos Informados en la Memoria y las cifras Físicas entregadas en la misma fuente.</t>
  </si>
  <si>
    <t>Remuneraciones se mantienen variables al ingreso en la proporción del año 2004</t>
  </si>
  <si>
    <t>La depreciación por convención crece a un 2% anual</t>
  </si>
  <si>
    <t>Los costos por bienes y servicios y transferencias intercompañías se mantiene constantes.</t>
  </si>
  <si>
    <t xml:space="preserve">Dato Balance 2004 y Proyección propia  de 1% de crecimiento al año. </t>
  </si>
  <si>
    <t xml:space="preserve">Dato Balance 2004 y Proyección propia  de 2% de crecimiento al año. </t>
  </si>
  <si>
    <t>Se Suponen constantes. Convención Sector.</t>
  </si>
  <si>
    <t>Cargos de acceso de larga distancia nacional se suponen en función de los ingresos totales por larga distancia nacional, manteniendo la proporción del año 2004.</t>
  </si>
  <si>
    <t>Cargos de acceso de larga distancia internacional se suponen en función de los ingresos totales por larga distancia internacional, manteniendo la proporción del año 2004</t>
  </si>
  <si>
    <t>Fórmula en base a estimaciones físicas y precios.</t>
  </si>
  <si>
    <t>Se suponen en función de los ingresos totales por larga distancia, manteniendo la proporción del año 2004</t>
  </si>
  <si>
    <t>Se anualiza el gasto financiero del primer trimestre del año 2005 y luego se asumen gastos financieros constantes.</t>
  </si>
  <si>
    <t>Se anualiza el ingresoo financiero del primer trimestre del año 2005 y luego se asumen gastos financieros constantes.</t>
  </si>
  <si>
    <t>SUPUESTOS</t>
  </si>
  <si>
    <t>TIPO SUPUESTOS</t>
  </si>
  <si>
    <t>Fórmula</t>
  </si>
  <si>
    <t>Convención</t>
  </si>
  <si>
    <t>Proyección</t>
  </si>
  <si>
    <t>Dato Balance Empresa</t>
  </si>
  <si>
    <t xml:space="preserve">Se Suponen constantes. </t>
  </si>
  <si>
    <t>Parámetro de Comparación</t>
  </si>
  <si>
    <t>no tengo el dato</t>
  </si>
  <si>
    <t>Probablemente usar promedio Industria o empresas extranjeras similares</t>
  </si>
  <si>
    <t>Número de acciones suscritas y pagadas que aparecen en la memoria anual 2004</t>
  </si>
  <si>
    <t>Precio cierrre acción marzo 2005, para reemplazarlo obtener el precio de cierrre del día que se quiere comparar con los ratios en El Mercurio al día siguiente.</t>
  </si>
  <si>
    <t>Deuda Total del Balance 2004, aparece en Memoria 2004.</t>
  </si>
  <si>
    <t>Interés Minoritario del Balance 2004, aparece en Memoria 2004.</t>
  </si>
  <si>
    <t>Tasa Banco Central BCU a 10 años</t>
  </si>
  <si>
    <t>capm, libre de r+ premio</t>
  </si>
  <si>
    <t>Supuesto</t>
  </si>
  <si>
    <t>Dato del Balance 2004</t>
  </si>
  <si>
    <t>promedio deuda , patrimonio</t>
  </si>
  <si>
    <t>Número de acciones suscritas y pagadas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</si>
</sst>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0.0%"/>
    <numFmt numFmtId="174" formatCode="0.00_)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0.00000000"/>
    <numFmt numFmtId="181" formatCode="0.000000000"/>
    <numFmt numFmtId="182" formatCode="#,##0_ ;[Red]\-#,##0\ "/>
    <numFmt numFmtId="183" formatCode="#,##0.00_ ;[Red]\-#,##0.00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1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9" fontId="2" fillId="0" borderId="1" xfId="22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9" fontId="1" fillId="0" borderId="1" xfId="22" applyFont="1" applyBorder="1" applyAlignment="1">
      <alignment horizontal="center"/>
    </xf>
    <xf numFmtId="3" fontId="2" fillId="0" borderId="1" xfId="22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1" fillId="0" borderId="1" xfId="21" applyFont="1" applyFill="1" applyBorder="1" applyProtection="1">
      <alignment/>
      <protection/>
    </xf>
    <xf numFmtId="0" fontId="5" fillId="0" borderId="1" xfId="21" applyFont="1" applyFill="1" applyBorder="1" applyAlignment="1" applyProtection="1">
      <alignment horizontal="center"/>
      <protection locked="0"/>
    </xf>
    <xf numFmtId="37" fontId="1" fillId="0" borderId="1" xfId="21" applyNumberFormat="1" applyFont="1" applyFill="1" applyBorder="1" applyProtection="1">
      <alignment/>
      <protection/>
    </xf>
    <xf numFmtId="37" fontId="6" fillId="0" borderId="1" xfId="21" applyNumberFormat="1" applyFont="1" applyFill="1" applyBorder="1" applyAlignment="1" applyProtection="1">
      <alignment horizontal="center"/>
      <protection locked="0"/>
    </xf>
    <xf numFmtId="37" fontId="2" fillId="0" borderId="1" xfId="21" applyNumberFormat="1" applyFont="1" applyFill="1" applyBorder="1" applyAlignment="1" applyProtection="1">
      <alignment horizontal="center"/>
      <protection locked="0"/>
    </xf>
    <xf numFmtId="37" fontId="1" fillId="0" borderId="1" xfId="21" applyNumberFormat="1" applyFont="1" applyFill="1" applyBorder="1" applyAlignment="1" applyProtection="1">
      <alignment horizontal="center"/>
      <protection locked="0"/>
    </xf>
    <xf numFmtId="37" fontId="2" fillId="0" borderId="1" xfId="21" applyNumberFormat="1" applyFont="1" applyFill="1" applyBorder="1" applyProtection="1">
      <alignment/>
      <protection/>
    </xf>
    <xf numFmtId="37" fontId="2" fillId="0" borderId="1" xfId="21" applyNumberFormat="1" applyFont="1" applyFill="1" applyBorder="1" applyProtection="1">
      <alignment/>
      <protection locked="0"/>
    </xf>
    <xf numFmtId="37" fontId="7" fillId="0" borderId="1" xfId="21" applyNumberFormat="1" applyFont="1" applyFill="1" applyBorder="1" applyAlignment="1" applyProtection="1">
      <alignment horizontal="center"/>
      <protection locked="0"/>
    </xf>
    <xf numFmtId="37" fontId="8" fillId="0" borderId="1" xfId="21" applyNumberFormat="1" applyFont="1" applyFill="1" applyBorder="1" applyAlignment="1" applyProtection="1">
      <alignment horizontal="center"/>
      <protection locked="0"/>
    </xf>
    <xf numFmtId="0" fontId="2" fillId="0" borderId="1" xfId="21" applyFont="1" applyFill="1" applyBorder="1" applyProtection="1">
      <alignment/>
      <protection/>
    </xf>
    <xf numFmtId="0" fontId="1" fillId="0" borderId="1" xfId="21" applyNumberFormat="1" applyFont="1" applyFill="1" applyBorder="1" applyAlignment="1" applyProtection="1">
      <alignment horizontal="center"/>
      <protection/>
    </xf>
    <xf numFmtId="173" fontId="1" fillId="0" borderId="1" xfId="22" applyNumberFormat="1" applyFont="1" applyFill="1" applyBorder="1" applyAlignment="1" applyProtection="1">
      <alignment horizontal="center"/>
      <protection locked="0"/>
    </xf>
    <xf numFmtId="174" fontId="1" fillId="0" borderId="1" xfId="21" applyNumberFormat="1" applyFont="1" applyFill="1" applyBorder="1" applyProtection="1">
      <alignment/>
      <protection/>
    </xf>
    <xf numFmtId="39" fontId="1" fillId="0" borderId="1" xfId="21" applyNumberFormat="1" applyFont="1" applyFill="1" applyBorder="1" applyAlignment="1" applyProtection="1">
      <alignment horizontal="center"/>
      <protection locked="0"/>
    </xf>
    <xf numFmtId="39" fontId="2" fillId="0" borderId="1" xfId="21" applyNumberFormat="1" applyFont="1" applyFill="1" applyBorder="1" applyProtection="1">
      <alignment/>
      <protection/>
    </xf>
    <xf numFmtId="37" fontId="2" fillId="0" borderId="1" xfId="21" applyNumberFormat="1" applyFont="1" applyFill="1" applyBorder="1" applyAlignment="1" applyProtection="1">
      <alignment horizontal="center"/>
      <protection/>
    </xf>
    <xf numFmtId="3" fontId="2" fillId="0" borderId="1" xfId="21" applyNumberFormat="1" applyFont="1" applyFill="1" applyBorder="1" applyAlignment="1" applyProtection="1">
      <alignment horizontal="center"/>
      <protection locked="0"/>
    </xf>
    <xf numFmtId="2" fontId="5" fillId="0" borderId="1" xfId="21" applyNumberFormat="1" applyFont="1" applyFill="1" applyBorder="1" applyAlignment="1" applyProtection="1">
      <alignment horizontal="center"/>
      <protection locked="0"/>
    </xf>
    <xf numFmtId="37" fontId="9" fillId="0" borderId="1" xfId="21" applyNumberFormat="1" applyFont="1" applyFill="1" applyBorder="1" applyAlignment="1" applyProtection="1">
      <alignment horizontal="center"/>
      <protection locked="0"/>
    </xf>
    <xf numFmtId="173" fontId="2" fillId="0" borderId="1" xfId="22" applyNumberFormat="1" applyFont="1" applyFill="1" applyBorder="1" applyAlignment="1" applyProtection="1">
      <alignment horizontal="center"/>
      <protection locked="0"/>
    </xf>
    <xf numFmtId="37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2" fontId="2" fillId="0" borderId="1" xfId="0" applyNumberFormat="1" applyFont="1" applyBorder="1" applyAlignment="1">
      <alignment horizontal="center"/>
    </xf>
    <xf numFmtId="173" fontId="2" fillId="0" borderId="1" xfId="22" applyNumberFormat="1" applyFont="1" applyBorder="1" applyAlignment="1">
      <alignment horizontal="center"/>
    </xf>
    <xf numFmtId="183" fontId="2" fillId="0" borderId="1" xfId="0" applyNumberFormat="1" applyFont="1" applyBorder="1" applyAlignment="1">
      <alignment horizontal="center"/>
    </xf>
    <xf numFmtId="173" fontId="1" fillId="0" borderId="1" xfId="22" applyNumberFormat="1" applyFont="1" applyBorder="1" applyAlignment="1">
      <alignment horizontal="center"/>
    </xf>
    <xf numFmtId="182" fontId="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37" fontId="5" fillId="0" borderId="1" xfId="21" applyNumberFormat="1" applyFont="1" applyFill="1" applyBorder="1" applyAlignment="1" applyProtection="1">
      <alignment horizontal="center"/>
      <protection locked="0"/>
    </xf>
    <xf numFmtId="10" fontId="1" fillId="0" borderId="1" xfId="22" applyNumberFormat="1" applyFont="1" applyFill="1" applyBorder="1" applyAlignment="1" applyProtection="1">
      <alignment horizontal="center"/>
      <protection locked="0"/>
    </xf>
    <xf numFmtId="9" fontId="2" fillId="0" borderId="1" xfId="22" applyFont="1" applyFill="1" applyBorder="1" applyAlignment="1" applyProtection="1">
      <alignment horizontal="center"/>
      <protection locked="0"/>
    </xf>
    <xf numFmtId="10" fontId="2" fillId="0" borderId="1" xfId="22" applyNumberFormat="1" applyFont="1" applyBorder="1" applyAlignment="1">
      <alignment/>
    </xf>
    <xf numFmtId="10" fontId="2" fillId="0" borderId="1" xfId="22" applyNumberFormat="1" applyFont="1" applyBorder="1" applyAlignment="1">
      <alignment horizontal="center"/>
    </xf>
    <xf numFmtId="1" fontId="2" fillId="0" borderId="1" xfId="22" applyNumberFormat="1" applyFont="1" applyBorder="1" applyAlignment="1">
      <alignment horizontal="center"/>
    </xf>
    <xf numFmtId="172" fontId="2" fillId="0" borderId="1" xfId="22" applyNumberFormat="1" applyFont="1" applyBorder="1" applyAlignment="1">
      <alignment horizontal="center"/>
    </xf>
    <xf numFmtId="173" fontId="5" fillId="0" borderId="1" xfId="22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justify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3" fontId="2" fillId="4" borderId="1" xfId="22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riesco\CONFIG~1\Temp\Sector%20Generaci&#243;n%20El&#233;ctrica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aluación por Razones"/>
      <sheetName val="Evaluación Económica"/>
      <sheetName val="Sector Generación Eléctrica"/>
    </sheetNames>
    <sheetDataSet>
      <sheetData sheetId="1">
        <row r="27">
          <cell r="B27" t="str">
            <v>Tasa de Descuento Patrimonio</v>
          </cell>
        </row>
        <row r="30">
          <cell r="B30" t="str">
            <v>Tasa de Descuento Activos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"/>
  <sheetViews>
    <sheetView workbookViewId="0" topLeftCell="A40">
      <selection activeCell="A36" sqref="A36:A39"/>
    </sheetView>
  </sheetViews>
  <sheetFormatPr defaultColWidth="11.421875" defaultRowHeight="12.75"/>
  <cols>
    <col min="1" max="1" width="11.421875" style="4" customWidth="1"/>
    <col min="2" max="2" width="31.8515625" style="4" customWidth="1"/>
    <col min="3" max="3" width="12.421875" style="4" customWidth="1"/>
    <col min="4" max="4" width="13.28125" style="2" customWidth="1"/>
    <col min="5" max="5" width="13.28125" style="3" customWidth="1"/>
    <col min="6" max="8" width="13.28125" style="2" customWidth="1"/>
    <col min="9" max="9" width="22.28125" style="2" customWidth="1"/>
    <col min="10" max="10" width="21.00390625" style="4" customWidth="1"/>
    <col min="11" max="14" width="9.00390625" style="4" customWidth="1"/>
    <col min="15" max="16384" width="11.421875" style="4" customWidth="1"/>
  </cols>
  <sheetData>
    <row r="2" spans="2:3" ht="12.75">
      <c r="B2" s="1" t="s">
        <v>41</v>
      </c>
      <c r="C2" s="1"/>
    </row>
    <row r="4" spans="2:4" ht="12.75">
      <c r="B4" s="1" t="s">
        <v>38</v>
      </c>
      <c r="C4" s="1"/>
      <c r="D4" s="5"/>
    </row>
    <row r="6" spans="2:4" ht="12.75">
      <c r="B6" s="1" t="s">
        <v>0</v>
      </c>
      <c r="C6" s="1"/>
      <c r="D6" s="5"/>
    </row>
    <row r="7" spans="4:14" ht="12.75">
      <c r="D7" s="5" t="s">
        <v>1</v>
      </c>
      <c r="E7" s="6" t="s">
        <v>2</v>
      </c>
      <c r="F7" s="5" t="s">
        <v>3</v>
      </c>
      <c r="G7" s="5" t="s">
        <v>4</v>
      </c>
      <c r="H7" s="5" t="s">
        <v>5</v>
      </c>
      <c r="I7" s="5"/>
      <c r="J7" s="5" t="s">
        <v>6</v>
      </c>
      <c r="K7" s="5" t="s">
        <v>6</v>
      </c>
      <c r="L7" s="5" t="s">
        <v>6</v>
      </c>
      <c r="M7" s="5" t="s">
        <v>6</v>
      </c>
      <c r="N7" s="5" t="s">
        <v>6</v>
      </c>
    </row>
    <row r="8" spans="4:14" ht="12.75">
      <c r="D8" s="5">
        <v>2004</v>
      </c>
      <c r="E8" s="7">
        <v>2005</v>
      </c>
      <c r="F8" s="5">
        <v>2006</v>
      </c>
      <c r="G8" s="5">
        <v>2007</v>
      </c>
      <c r="H8" s="5">
        <v>2008</v>
      </c>
      <c r="I8" s="5"/>
      <c r="J8" s="5"/>
      <c r="K8" s="5"/>
      <c r="L8" s="5"/>
      <c r="M8" s="5"/>
      <c r="N8" s="5"/>
    </row>
    <row r="9" spans="4:14" ht="12.75">
      <c r="D9" s="5"/>
      <c r="E9" s="6"/>
      <c r="F9" s="5"/>
      <c r="G9" s="5"/>
      <c r="H9" s="5"/>
      <c r="I9" s="5"/>
      <c r="J9" s="5"/>
      <c r="K9" s="5"/>
      <c r="L9" s="5"/>
      <c r="M9" s="5"/>
      <c r="N9" s="5"/>
    </row>
    <row r="10" s="1" customFormat="1" ht="12.75">
      <c r="B10" s="1" t="s">
        <v>7</v>
      </c>
    </row>
    <row r="11" ht="12.75">
      <c r="B11" s="4" t="s">
        <v>8</v>
      </c>
    </row>
    <row r="13" spans="2:8" ht="12.75">
      <c r="B13" s="4" t="s">
        <v>117</v>
      </c>
      <c r="D13" s="3">
        <f>+'Sector Telecomunicaciones'!C28</f>
        <v>834835</v>
      </c>
      <c r="E13" s="3">
        <f>+'Sector Telecomunicaciones'!F28</f>
        <v>704914.4889145473</v>
      </c>
      <c r="F13" s="3">
        <f>+'Sector Telecomunicaciones'!G28</f>
        <v>715927.4088594376</v>
      </c>
      <c r="G13" s="3">
        <f>+'Sector Telecomunicaciones'!H28</f>
        <v>726587.6038766744</v>
      </c>
      <c r="H13" s="3">
        <f>+'Sector Telecomunicaciones'!I28</f>
        <v>736014.8977997284</v>
      </c>
    </row>
    <row r="14" spans="2:8" ht="12.75">
      <c r="B14" s="4" t="s">
        <v>116</v>
      </c>
      <c r="D14" s="3">
        <f>+'Sector Telecomunicaciones'!C76</f>
        <v>-738903</v>
      </c>
      <c r="E14" s="3">
        <f>+'Sector Telecomunicaciones'!F76</f>
        <v>-604150.0386778569</v>
      </c>
      <c r="F14" s="3">
        <f>+'Sector Telecomunicaciones'!G76</f>
        <v>-608677.998944045</v>
      </c>
      <c r="G14" s="3">
        <f>+'Sector Telecomunicaciones'!H76</f>
        <v>-613474.7037836965</v>
      </c>
      <c r="H14" s="3">
        <f>+'Sector Telecomunicaciones'!I76</f>
        <v>-618362.3991471899</v>
      </c>
    </row>
    <row r="15" spans="2:8" ht="12.75">
      <c r="B15" s="4" t="s">
        <v>70</v>
      </c>
      <c r="D15" s="3">
        <f>+D13+D14</f>
        <v>95932</v>
      </c>
      <c r="E15" s="3">
        <f>+E13+E14</f>
        <v>100764.45023669035</v>
      </c>
      <c r="F15" s="3">
        <f>+F13+F14</f>
        <v>107249.40991539252</v>
      </c>
      <c r="G15" s="3">
        <f>+G13+G14</f>
        <v>113112.90009297791</v>
      </c>
      <c r="H15" s="3">
        <f>+H13+H14</f>
        <v>117652.49865253852</v>
      </c>
    </row>
    <row r="16" spans="2:8" ht="12.75">
      <c r="B16" s="4" t="s">
        <v>70</v>
      </c>
      <c r="D16" s="8">
        <f>+D15/D13</f>
        <v>0.11491132978372971</v>
      </c>
      <c r="E16" s="8">
        <f>+E15/E13</f>
        <v>0.14294563641591632</v>
      </c>
      <c r="F16" s="8">
        <f>+F15/F13</f>
        <v>0.14980486651049485</v>
      </c>
      <c r="G16" s="8">
        <f>+G15/G13</f>
        <v>0.1556768922143308</v>
      </c>
      <c r="H16" s="8">
        <f>+H15/H13</f>
        <v>0.15985070275649782</v>
      </c>
    </row>
    <row r="17" spans="2:8" ht="12.75">
      <c r="B17" s="4" t="s">
        <v>10</v>
      </c>
      <c r="D17" s="3">
        <f>+'Sector Telecomunicaciones'!C111</f>
        <v>227917</v>
      </c>
      <c r="E17" s="3">
        <f>+'Sector Telecomunicaciones'!F111</f>
        <v>196497.90000000002</v>
      </c>
      <c r="F17" s="3">
        <f>+'Sector Telecomunicaciones'!G111</f>
        <v>200427.858</v>
      </c>
      <c r="G17" s="3">
        <f>+'Sector Telecomunicaciones'!H111</f>
        <v>204436.41516</v>
      </c>
      <c r="H17" s="3">
        <f>+'Sector Telecomunicaciones'!I111</f>
        <v>208525.14346320005</v>
      </c>
    </row>
    <row r="18" spans="2:8" ht="12.75">
      <c r="B18" s="1" t="s">
        <v>11</v>
      </c>
      <c r="C18" s="1"/>
      <c r="D18" s="6">
        <f>+D17+D15</f>
        <v>323849</v>
      </c>
      <c r="E18" s="6">
        <f>+E17+E15</f>
        <v>297262.35023669037</v>
      </c>
      <c r="F18" s="6">
        <f>+F17+F15</f>
        <v>307677.2679153925</v>
      </c>
      <c r="G18" s="6">
        <f>+G17+G15</f>
        <v>317549.3152529779</v>
      </c>
      <c r="H18" s="6">
        <f>+H17+H15</f>
        <v>326177.6421157386</v>
      </c>
    </row>
    <row r="19" spans="2:5" ht="12.75">
      <c r="B19" s="1"/>
      <c r="C19" s="1"/>
      <c r="D19" s="6"/>
      <c r="E19" s="6"/>
    </row>
    <row r="20" spans="1:8" ht="89.25">
      <c r="A20" s="66" t="s">
        <v>174</v>
      </c>
      <c r="B20" s="1" t="s">
        <v>12</v>
      </c>
      <c r="C20" s="1"/>
      <c r="D20" s="6">
        <f>873.995447+83.161638</f>
        <v>957.157085</v>
      </c>
      <c r="E20" s="6">
        <f>873.995447+83.161638</f>
        <v>957.157085</v>
      </c>
      <c r="F20" s="6">
        <f>873.995447+83.161638</f>
        <v>957.157085</v>
      </c>
      <c r="G20" s="6">
        <f>873.995447+83.161638</f>
        <v>957.157085</v>
      </c>
      <c r="H20" s="6">
        <f>873.995447+83.161638</f>
        <v>957.157085</v>
      </c>
    </row>
    <row r="21" spans="2:5" ht="12.75">
      <c r="B21" s="1"/>
      <c r="C21" s="1"/>
      <c r="D21" s="9"/>
      <c r="E21" s="6"/>
    </row>
    <row r="22" spans="2:8" ht="12.75">
      <c r="B22" s="1" t="s">
        <v>13</v>
      </c>
      <c r="C22" s="1"/>
      <c r="D22" s="10">
        <f>+D18/D13</f>
        <v>0.3879197685770242</v>
      </c>
      <c r="E22" s="10">
        <f>+E18/E13</f>
        <v>0.4216998726958012</v>
      </c>
      <c r="F22" s="10">
        <f>+F18/F13</f>
        <v>0.4297604255794049</v>
      </c>
      <c r="G22" s="10">
        <f>+G18/G13</f>
        <v>0.437042021579653</v>
      </c>
      <c r="H22" s="10">
        <f>+H18/H13</f>
        <v>0.4431671737770889</v>
      </c>
    </row>
    <row r="24" spans="2:8" ht="12.75">
      <c r="B24" s="4" t="s">
        <v>14</v>
      </c>
      <c r="D24" s="3">
        <f>+'Sector Telecomunicaciones'!C115</f>
        <v>9286</v>
      </c>
      <c r="E24" s="3">
        <f>+'Sector Telecomunicaciones'!F115</f>
        <v>8270</v>
      </c>
      <c r="F24" s="3">
        <f>+'Sector Telecomunicaciones'!G115</f>
        <v>8270</v>
      </c>
      <c r="G24" s="3">
        <f>+'Sector Telecomunicaciones'!H115</f>
        <v>8270</v>
      </c>
      <c r="H24" s="3">
        <f>+'Sector Telecomunicaciones'!I115</f>
        <v>8270</v>
      </c>
    </row>
    <row r="25" spans="2:8" ht="12.75">
      <c r="B25" s="4" t="s">
        <v>15</v>
      </c>
      <c r="D25" s="3">
        <f>+'Sector Telecomunicaciones'!C118</f>
        <v>-54054</v>
      </c>
      <c r="E25" s="3">
        <f>+'Sector Telecomunicaciones'!F118</f>
        <v>-34488</v>
      </c>
      <c r="F25" s="3">
        <f>+'Sector Telecomunicaciones'!G118</f>
        <v>-34488</v>
      </c>
      <c r="G25" s="3">
        <f>+'Sector Telecomunicaciones'!H118</f>
        <v>-34488</v>
      </c>
      <c r="H25" s="3">
        <f>+'Sector Telecomunicaciones'!I118</f>
        <v>-34488</v>
      </c>
    </row>
    <row r="26" spans="2:8" ht="12.75">
      <c r="B26" s="4" t="s">
        <v>16</v>
      </c>
      <c r="D26" s="3">
        <f>+'Sector Telecomunicaciones'!C115+'Sector Telecomunicaciones'!C116+'Sector Telecomunicaciones'!C117+'Sector Telecomunicaciones'!C119+'Sector Telecomunicaciones'!C120+'Sector Telecomunicaciones'!C121</f>
        <v>329227</v>
      </c>
      <c r="E26" s="3">
        <v>0</v>
      </c>
      <c r="F26" s="3">
        <v>0</v>
      </c>
      <c r="G26" s="3">
        <v>0</v>
      </c>
      <c r="H26" s="3">
        <v>0</v>
      </c>
    </row>
    <row r="27" spans="2:8" ht="12.75">
      <c r="B27" s="4" t="s">
        <v>17</v>
      </c>
      <c r="D27" s="3">
        <f>+D26+D25+D15</f>
        <v>371105</v>
      </c>
      <c r="E27" s="3">
        <f>+'Sector Telecomunicaciones'!F125</f>
        <v>74546.45023669035</v>
      </c>
      <c r="F27" s="3">
        <f>+'Sector Telecomunicaciones'!G125</f>
        <v>81031.40991539252</v>
      </c>
      <c r="G27" s="3">
        <f>+'Sector Telecomunicaciones'!H125</f>
        <v>86894.90009297791</v>
      </c>
      <c r="H27" s="3">
        <f>+'Sector Telecomunicaciones'!I125</f>
        <v>91434.49865253852</v>
      </c>
    </row>
    <row r="28" spans="2:9" s="1" customFormat="1" ht="12.75">
      <c r="B28" s="4" t="s">
        <v>18</v>
      </c>
      <c r="C28" s="4"/>
      <c r="D28" s="3">
        <f>+'Sector Telecomunicaciones'!C126</f>
        <v>-62395</v>
      </c>
      <c r="E28" s="3">
        <f>+'Sector Telecomunicaciones'!F126</f>
        <v>-12672.89654023736</v>
      </c>
      <c r="F28" s="3">
        <f>+'Sector Telecomunicaciones'!G126</f>
        <v>-13775.33968561673</v>
      </c>
      <c r="G28" s="3">
        <f>+'Sector Telecomunicaciones'!H126</f>
        <v>-14772.133015806246</v>
      </c>
      <c r="H28" s="3">
        <f>+'Sector Telecomunicaciones'!I126</f>
        <v>-15543.864770931548</v>
      </c>
      <c r="I28" s="5"/>
    </row>
    <row r="29" spans="2:8" ht="12.75">
      <c r="B29" s="4" t="s">
        <v>19</v>
      </c>
      <c r="D29" s="8">
        <f>+D28/D27</f>
        <v>-0.1681330081782784</v>
      </c>
      <c r="E29" s="8">
        <f>+E28/E27</f>
        <v>-0.17</v>
      </c>
      <c r="F29" s="8">
        <f>+F28/F27</f>
        <v>-0.17</v>
      </c>
      <c r="G29" s="8">
        <f>+G28/G27</f>
        <v>-0.17</v>
      </c>
      <c r="H29" s="8">
        <f>+H28/H27</f>
        <v>-0.17</v>
      </c>
    </row>
    <row r="30" spans="2:8" ht="12.75">
      <c r="B30" s="12" t="s">
        <v>20</v>
      </c>
      <c r="C30" s="12"/>
      <c r="D30" s="11">
        <f>+'Sector Telecomunicaciones'!C128</f>
        <v>-283</v>
      </c>
      <c r="E30" s="11">
        <f>+'Sector Telecomunicaciones'!F128</f>
        <v>0</v>
      </c>
      <c r="F30" s="11">
        <f>+'Sector Telecomunicaciones'!G128</f>
        <v>0</v>
      </c>
      <c r="G30" s="11">
        <f>+'Sector Telecomunicaciones'!H128</f>
        <v>0</v>
      </c>
      <c r="H30" s="11">
        <f>+'Sector Telecomunicaciones'!I128</f>
        <v>0</v>
      </c>
    </row>
    <row r="31" spans="2:8" ht="12.75">
      <c r="B31" s="12"/>
      <c r="C31" s="12"/>
      <c r="D31" s="11"/>
      <c r="E31" s="11"/>
      <c r="F31" s="11"/>
      <c r="G31" s="11"/>
      <c r="H31" s="11"/>
    </row>
    <row r="32" spans="2:8" ht="12.75">
      <c r="B32" s="1" t="s">
        <v>21</v>
      </c>
      <c r="C32" s="1"/>
      <c r="D32" s="6">
        <f>+'Sector Telecomunicaciones'!C129</f>
        <v>311629</v>
      </c>
      <c r="E32" s="6">
        <f>+'Sector Telecomunicaciones'!F129</f>
        <v>61873.55369645299</v>
      </c>
      <c r="F32" s="6">
        <f>+'Sector Telecomunicaciones'!G129</f>
        <v>67256.0702297758</v>
      </c>
      <c r="G32" s="6">
        <f>+'Sector Telecomunicaciones'!H129</f>
        <v>72122.76707717167</v>
      </c>
      <c r="H32" s="6">
        <f>+'Sector Telecomunicaciones'!I129</f>
        <v>75890.63388160698</v>
      </c>
    </row>
    <row r="33" spans="2:8" ht="12.75">
      <c r="B33" s="1" t="s">
        <v>22</v>
      </c>
      <c r="C33" s="1"/>
      <c r="D33" s="9">
        <f>+D32/$D$20</f>
        <v>325.5776976252545</v>
      </c>
      <c r="E33" s="9">
        <f>+E32/$D$20</f>
        <v>64.64305041053213</v>
      </c>
      <c r="F33" s="9">
        <f>+F32/$D$20</f>
        <v>70.26649155480659</v>
      </c>
      <c r="G33" s="9">
        <f>+G32/$D$20</f>
        <v>75.35102462013501</v>
      </c>
      <c r="H33" s="9">
        <f>+H32/$D$20</f>
        <v>79.28754336244293</v>
      </c>
    </row>
    <row r="34" spans="2:4" ht="12.75">
      <c r="B34" s="1"/>
      <c r="C34" s="1"/>
      <c r="D34" s="10"/>
    </row>
    <row r="35" spans="2:4" ht="12.75">
      <c r="B35" s="1" t="s">
        <v>6</v>
      </c>
      <c r="C35" s="1"/>
      <c r="D35" s="5"/>
    </row>
    <row r="36" spans="1:8" ht="153">
      <c r="A36" s="67" t="s">
        <v>175</v>
      </c>
      <c r="B36" s="36" t="s">
        <v>118</v>
      </c>
      <c r="C36" s="36"/>
      <c r="D36" s="37">
        <v>1655</v>
      </c>
      <c r="E36" s="38"/>
      <c r="F36" s="39"/>
      <c r="G36" s="39"/>
      <c r="H36" s="39"/>
    </row>
    <row r="37" spans="1:4" ht="12.75">
      <c r="A37" s="66"/>
      <c r="B37" s="1" t="s">
        <v>119</v>
      </c>
      <c r="C37" s="1"/>
      <c r="D37" s="6">
        <f>+D36*D20</f>
        <v>1584094.975675</v>
      </c>
    </row>
    <row r="38" spans="1:4" ht="63.75">
      <c r="A38" s="66" t="s">
        <v>176</v>
      </c>
      <c r="B38" s="1" t="s">
        <v>120</v>
      </c>
      <c r="C38" s="1"/>
      <c r="D38" s="6">
        <f>348358+559759</f>
        <v>908117</v>
      </c>
    </row>
    <row r="39" spans="1:4" ht="63.75">
      <c r="A39" s="66" t="s">
        <v>177</v>
      </c>
      <c r="B39" s="1" t="s">
        <v>20</v>
      </c>
      <c r="C39" s="1"/>
      <c r="D39" s="6">
        <v>0</v>
      </c>
    </row>
    <row r="40" spans="2:4" ht="12.75">
      <c r="B40" s="1" t="s">
        <v>121</v>
      </c>
      <c r="C40" s="1"/>
      <c r="D40" s="6">
        <f>+D39+D38+D37</f>
        <v>2492211.975675</v>
      </c>
    </row>
    <row r="41" spans="2:9" ht="12.75">
      <c r="B41" s="1" t="s">
        <v>142</v>
      </c>
      <c r="C41" s="1"/>
      <c r="D41" s="6">
        <f>+'Evaluación Flujos de Caja'!D32/'Evaluación Flujos de Caja'!D28</f>
        <v>1894620</v>
      </c>
      <c r="I41" s="5"/>
    </row>
    <row r="42" spans="2:9" ht="12.75">
      <c r="B42" s="1" t="s">
        <v>6</v>
      </c>
      <c r="C42" s="1"/>
      <c r="D42" s="5"/>
      <c r="I42" s="5"/>
    </row>
    <row r="43" spans="2:4" ht="12.75">
      <c r="B43" s="1" t="s">
        <v>23</v>
      </c>
      <c r="C43" s="1"/>
      <c r="D43" s="5" t="s">
        <v>122</v>
      </c>
    </row>
    <row r="44" spans="4:10" s="1" customFormat="1" ht="12.75">
      <c r="D44" s="5" t="s">
        <v>1</v>
      </c>
      <c r="E44" s="6" t="s">
        <v>2</v>
      </c>
      <c r="F44" s="5" t="s">
        <v>3</v>
      </c>
      <c r="G44" s="5" t="s">
        <v>4</v>
      </c>
      <c r="H44" s="5" t="s">
        <v>5</v>
      </c>
      <c r="I44" s="61" t="s">
        <v>171</v>
      </c>
      <c r="J44" s="4"/>
    </row>
    <row r="45" spans="2:9" ht="12.75">
      <c r="B45" s="1"/>
      <c r="C45" s="1"/>
      <c r="D45" s="5">
        <v>2004</v>
      </c>
      <c r="E45" s="7">
        <v>2005</v>
      </c>
      <c r="F45" s="5">
        <v>2006</v>
      </c>
      <c r="G45" s="5">
        <v>2007</v>
      </c>
      <c r="H45" s="5">
        <v>2008</v>
      </c>
      <c r="I45" s="61" t="s">
        <v>118</v>
      </c>
    </row>
    <row r="46" ht="12.75">
      <c r="I46" s="62"/>
    </row>
    <row r="47" spans="2:10" ht="12.75">
      <c r="B47" s="1" t="s">
        <v>123</v>
      </c>
      <c r="C47" s="2"/>
      <c r="D47" s="6"/>
      <c r="E47" s="6"/>
      <c r="F47" s="5"/>
      <c r="G47" s="5"/>
      <c r="H47" s="5"/>
      <c r="I47" s="61"/>
      <c r="J47" s="1"/>
    </row>
    <row r="48" spans="2:9" ht="12.75">
      <c r="B48" s="4" t="s">
        <v>24</v>
      </c>
      <c r="C48" s="2">
        <v>10</v>
      </c>
      <c r="D48" s="3">
        <f>+($C$48*D18-$D$39-$D$38)/$D$20</f>
        <v>2434.681868337212</v>
      </c>
      <c r="E48" s="3">
        <f>+($C$48*E18-$D$39-$D$38)/$D$20</f>
        <v>2156.915029644171</v>
      </c>
      <c r="F48" s="3">
        <f>+($C$48*F18-$D$39-$D$38)/$D$20</f>
        <v>2265.7259849400007</v>
      </c>
      <c r="G48" s="3">
        <f>+($C$48*G18-$D$39-$D$38)/$D$20</f>
        <v>2368.865244861849</v>
      </c>
      <c r="H48" s="3">
        <f>+($C$48*H18-$D$39-$D$38)/$D$20</f>
        <v>2459.0106034239784</v>
      </c>
      <c r="I48" s="62">
        <f>+$D$36</f>
        <v>1655</v>
      </c>
    </row>
    <row r="49" spans="2:10" s="1" customFormat="1" ht="12.75">
      <c r="B49" s="4" t="s">
        <v>25</v>
      </c>
      <c r="C49" s="2">
        <v>9</v>
      </c>
      <c r="D49" s="3">
        <f>+($C$49*D18-$D$39-$D$38)/$D$20</f>
        <v>2096.337196312975</v>
      </c>
      <c r="E49" s="3">
        <f>+($C$49*E18-$D$39-$D$38)/$D$20</f>
        <v>1846.3470414892383</v>
      </c>
      <c r="F49" s="3">
        <f>+($C$49*F18-$D$39-$D$38)/$D$20</f>
        <v>1944.2769012554845</v>
      </c>
      <c r="G49" s="3">
        <f>+($C$49*G18-$D$39-$D$38)/$D$20</f>
        <v>2037.1022351851482</v>
      </c>
      <c r="H49" s="3">
        <f>+($C$49*H18-$D$39-$D$38)/$D$20</f>
        <v>2118.233057891064</v>
      </c>
      <c r="I49" s="62">
        <f>+$D$36</f>
        <v>1655</v>
      </c>
      <c r="J49" s="4"/>
    </row>
    <row r="50" spans="2:9" ht="12.75">
      <c r="B50" s="4" t="s">
        <v>26</v>
      </c>
      <c r="C50" s="2">
        <v>8</v>
      </c>
      <c r="D50" s="3">
        <f>+($C$50*D18-$D$39-$D$38)/$D$20</f>
        <v>1757.9925242887377</v>
      </c>
      <c r="E50" s="3">
        <f>+($C$50*E18-$D$39-$D$38)/$D$20</f>
        <v>1535.779053334305</v>
      </c>
      <c r="F50" s="3">
        <f>+($C$50*F18-$D$39-$D$38)/$D$20</f>
        <v>1622.8278175709686</v>
      </c>
      <c r="G50" s="3">
        <f>+($C$50*G18-$D$39-$D$38)/$D$20</f>
        <v>1705.3392255084473</v>
      </c>
      <c r="H50" s="3">
        <f>+($C$50*H18-$D$39-$D$38)/$D$20</f>
        <v>1777.4555123581504</v>
      </c>
      <c r="I50" s="62">
        <f>+$D$36</f>
        <v>1655</v>
      </c>
    </row>
    <row r="51" spans="3:9" ht="12.75">
      <c r="C51" s="2"/>
      <c r="D51" s="3"/>
      <c r="I51" s="62"/>
    </row>
    <row r="52" spans="2:10" ht="12.75">
      <c r="B52" s="1" t="s">
        <v>27</v>
      </c>
      <c r="C52" s="2"/>
      <c r="D52" s="6"/>
      <c r="E52" s="6"/>
      <c r="F52" s="5"/>
      <c r="G52" s="5"/>
      <c r="H52" s="5"/>
      <c r="I52" s="61"/>
      <c r="J52" s="1"/>
    </row>
    <row r="53" spans="2:9" ht="12.75">
      <c r="B53" s="4" t="s">
        <v>24</v>
      </c>
      <c r="C53" s="2">
        <v>24</v>
      </c>
      <c r="D53" s="3">
        <f>+$C$53*D33</f>
        <v>7813.864743006107</v>
      </c>
      <c r="E53" s="3">
        <f>+$C$53*E33</f>
        <v>1551.4332098527711</v>
      </c>
      <c r="F53" s="3">
        <f>+$C$53*F33</f>
        <v>1686.3957973153583</v>
      </c>
      <c r="G53" s="3">
        <f>+$C$53*G33</f>
        <v>1808.4245908832402</v>
      </c>
      <c r="H53" s="3">
        <f>+$C$53*H33</f>
        <v>1902.9010406986304</v>
      </c>
      <c r="I53" s="62">
        <f>+$D$36</f>
        <v>1655</v>
      </c>
    </row>
    <row r="54" spans="2:9" ht="12.75">
      <c r="B54" s="4" t="s">
        <v>25</v>
      </c>
      <c r="C54" s="2">
        <v>22</v>
      </c>
      <c r="D54" s="3">
        <f>+$C$54*D33</f>
        <v>7162.709347755598</v>
      </c>
      <c r="E54" s="3">
        <f>+$C$54*E33</f>
        <v>1422.1471090317068</v>
      </c>
      <c r="F54" s="3">
        <f>+$C$54*F33</f>
        <v>1545.862814205745</v>
      </c>
      <c r="G54" s="3">
        <f>+$C$54*G33</f>
        <v>1657.72254164297</v>
      </c>
      <c r="H54" s="3">
        <f>+$C$54*H33</f>
        <v>1744.3259539737446</v>
      </c>
      <c r="I54" s="62">
        <f>+$D$36</f>
        <v>1655</v>
      </c>
    </row>
    <row r="55" spans="2:9" ht="12.75">
      <c r="B55" s="4" t="s">
        <v>26</v>
      </c>
      <c r="C55" s="2">
        <v>20</v>
      </c>
      <c r="D55" s="3">
        <f>+$C$55*D33</f>
        <v>6511.55395250509</v>
      </c>
      <c r="E55" s="3">
        <f>+$C$55*E33</f>
        <v>1292.8610082106425</v>
      </c>
      <c r="F55" s="3">
        <f>+$C$55*F33</f>
        <v>1405.3298310961318</v>
      </c>
      <c r="G55" s="3">
        <f>+$C$55*G33</f>
        <v>1507.0204924027003</v>
      </c>
      <c r="H55" s="3">
        <f>+$C$55*H33</f>
        <v>1585.7508672488586</v>
      </c>
      <c r="I55" s="62">
        <f>+$D$36</f>
        <v>1655</v>
      </c>
    </row>
    <row r="57" spans="2:8" ht="12.75">
      <c r="B57" s="1" t="s">
        <v>143</v>
      </c>
      <c r="C57" s="49"/>
      <c r="D57" s="7">
        <v>2004</v>
      </c>
      <c r="E57" s="7">
        <v>2005</v>
      </c>
      <c r="F57" s="7">
        <v>2006</v>
      </c>
      <c r="G57" s="7">
        <v>2007</v>
      </c>
      <c r="H57" s="7">
        <v>2008</v>
      </c>
    </row>
    <row r="58" ht="12.75">
      <c r="C58" s="49"/>
    </row>
    <row r="59" spans="2:10" ht="12.75">
      <c r="B59" s="1" t="s">
        <v>144</v>
      </c>
      <c r="C59" s="11"/>
      <c r="D59" s="50">
        <f>+D32/$D$41</f>
        <v>0.16448100410636435</v>
      </c>
      <c r="E59" s="50">
        <f>+E32/$D$41</f>
        <v>0.032657500552328696</v>
      </c>
      <c r="F59" s="50">
        <f>+F32/$D$41</f>
        <v>0.03549844835891936</v>
      </c>
      <c r="G59" s="50">
        <f>+G32/$D$41</f>
        <v>0.03806714120888181</v>
      </c>
      <c r="H59" s="50">
        <f>+H32/$D$41</f>
        <v>0.04005586021556142</v>
      </c>
      <c r="I59" s="63">
        <f>+'Evaluación Flujos de Caja'!D29</f>
        <v>0.084628</v>
      </c>
      <c r="J59" s="64" t="str">
        <f>+'[1]Evaluación Económica'!B30</f>
        <v>Tasa de Descuento Activos</v>
      </c>
    </row>
    <row r="60" spans="2:10" ht="12.75">
      <c r="B60" s="1" t="s">
        <v>145</v>
      </c>
      <c r="C60" s="51"/>
      <c r="D60" s="50">
        <f>+D32/($D$41-$D$38)</f>
        <v>0.31589260245533973</v>
      </c>
      <c r="E60" s="50">
        <f>+E32/($D$41-$D$38)</f>
        <v>0.06272008670673378</v>
      </c>
      <c r="F60" s="50">
        <f>+F32/($D$41-$D$38)</f>
        <v>0.06817624500865765</v>
      </c>
      <c r="G60" s="50">
        <f>+G32/($D$41-$D$38)</f>
        <v>0.07310952635437669</v>
      </c>
      <c r="H60" s="50">
        <f>+H32/($D$41-$D$38)</f>
        <v>0.07692894383656915</v>
      </c>
      <c r="I60" s="63">
        <f>+'Evaluación Flujos de Caja'!D26</f>
        <v>0.08889999999999999</v>
      </c>
      <c r="J60" s="64" t="str">
        <f>+'[1]Evaluación Económica'!B27</f>
        <v>Tasa de Descuento Patrimonio</v>
      </c>
    </row>
    <row r="61" spans="2:10" ht="12.75">
      <c r="B61" s="1" t="s">
        <v>146</v>
      </c>
      <c r="D61" s="50">
        <f>+D15/$D$41</f>
        <v>0.05063390020162355</v>
      </c>
      <c r="E61" s="50">
        <f>+E15/$D$41</f>
        <v>0.05318451733682234</v>
      </c>
      <c r="F61" s="50">
        <f>+F15/$D$41</f>
        <v>0.0566073460194617</v>
      </c>
      <c r="G61" s="50">
        <f>+G15/$D$41</f>
        <v>0.05970215668206707</v>
      </c>
      <c r="H61" s="50">
        <f>+H15/$D$41</f>
        <v>0.06209820367806659</v>
      </c>
      <c r="I61" s="63">
        <f>+'Evaluación Flujos de Caja'!D29</f>
        <v>0.084628</v>
      </c>
      <c r="J61" s="64" t="str">
        <f>+'[1]Evaluación Económica'!B30</f>
        <v>Tasa de Descuento Activos</v>
      </c>
    </row>
    <row r="62" spans="2:10" ht="51">
      <c r="B62" s="1" t="s">
        <v>147</v>
      </c>
      <c r="D62" s="52">
        <f>+(D15+D28)/-'Evaluación Flujos de Caja'!D15</f>
        <v>0.3701655629139073</v>
      </c>
      <c r="E62" s="52">
        <f>+(E15+E28)/-'Evaluación Flujos de Caja'!E15</f>
        <v>0.9787950410716999</v>
      </c>
      <c r="F62" s="52">
        <f>+(F15+F28)/-'Evaluación Flujos de Caja'!F15</f>
        <v>1.0386007803308421</v>
      </c>
      <c r="G62" s="52">
        <f>+(G15+G28)/-'Evaluación Flujos de Caja'!G15</f>
        <v>1.0926751897463518</v>
      </c>
      <c r="H62" s="52">
        <f>+(H15+H28)/-'Evaluación Flujos de Caja'!H15</f>
        <v>1.1345403764622997</v>
      </c>
      <c r="I62" s="63" t="s">
        <v>172</v>
      </c>
      <c r="J62" s="65" t="s">
        <v>173</v>
      </c>
    </row>
    <row r="63" s="1" customFormat="1" ht="12.75"/>
    <row r="70" s="1" customFormat="1" ht="12.75"/>
    <row r="73" s="1" customFormat="1" ht="12.75"/>
    <row r="77" spans="2:3" ht="12.75">
      <c r="B77" s="1"/>
      <c r="C77" s="1"/>
    </row>
  </sheetData>
  <printOptions/>
  <pageMargins left="0.75" right="0.75" top="1" bottom="1" header="0" footer="0"/>
  <pageSetup fitToHeight="1" fitToWidth="1" orientation="landscape" scale="42" r:id="rId1"/>
  <ignoredErrors>
    <ignoredError sqref="E22:H22 F29:H29" evalError="1"/>
    <ignoredError sqref="I60:J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workbookViewId="0" topLeftCell="A4">
      <selection activeCell="B35" sqref="B35"/>
    </sheetView>
  </sheetViews>
  <sheetFormatPr defaultColWidth="11.421875" defaultRowHeight="12.75"/>
  <cols>
    <col min="1" max="1" width="22.28125" style="4" customWidth="1"/>
    <col min="2" max="2" width="31.00390625" style="4" customWidth="1"/>
    <col min="3" max="3" width="0.13671875" style="2" hidden="1" customWidth="1"/>
    <col min="4" max="14" width="11.421875" style="2" customWidth="1"/>
    <col min="15" max="16384" width="11.421875" style="4" customWidth="1"/>
  </cols>
  <sheetData>
    <row r="2" spans="2:5" ht="12.75">
      <c r="B2" s="1" t="s">
        <v>41</v>
      </c>
      <c r="C2" s="5"/>
      <c r="E2" s="3"/>
    </row>
    <row r="3" ht="12.75">
      <c r="E3" s="3"/>
    </row>
    <row r="4" spans="2:5" ht="12.75">
      <c r="B4" s="1" t="s">
        <v>38</v>
      </c>
      <c r="C4" s="5"/>
      <c r="D4" s="5"/>
      <c r="E4" s="3"/>
    </row>
    <row r="5" ht="12.75">
      <c r="E5" s="3"/>
    </row>
    <row r="6" spans="2:5" ht="12.75">
      <c r="B6" s="1" t="s">
        <v>28</v>
      </c>
      <c r="C6" s="5"/>
      <c r="D6" s="5"/>
      <c r="E6" s="3"/>
    </row>
    <row r="7" spans="3:14" ht="12.75">
      <c r="C7" s="5" t="s">
        <v>1</v>
      </c>
      <c r="D7" s="5" t="s">
        <v>1</v>
      </c>
      <c r="E7" s="6" t="s">
        <v>2</v>
      </c>
      <c r="F7" s="5" t="s">
        <v>3</v>
      </c>
      <c r="G7" s="5" t="s">
        <v>4</v>
      </c>
      <c r="H7" s="5" t="s">
        <v>5</v>
      </c>
      <c r="I7" s="5" t="s">
        <v>29</v>
      </c>
      <c r="J7" s="5" t="s">
        <v>30</v>
      </c>
      <c r="K7" s="5" t="s">
        <v>31</v>
      </c>
      <c r="L7" s="5" t="s">
        <v>32</v>
      </c>
      <c r="M7" s="5" t="s">
        <v>33</v>
      </c>
      <c r="N7" s="5" t="s">
        <v>34</v>
      </c>
    </row>
    <row r="8" spans="3:14" ht="12.75">
      <c r="C8" s="5">
        <v>2003</v>
      </c>
      <c r="D8" s="5">
        <v>2004</v>
      </c>
      <c r="E8" s="7">
        <v>2005</v>
      </c>
      <c r="F8" s="5">
        <v>2006</v>
      </c>
      <c r="G8" s="5">
        <v>2007</v>
      </c>
      <c r="H8" s="5">
        <v>2008</v>
      </c>
      <c r="I8" s="5">
        <f aca="true" t="shared" si="0" ref="I8:N8">+H8+1</f>
        <v>2009</v>
      </c>
      <c r="J8" s="5">
        <f t="shared" si="0"/>
        <v>2010</v>
      </c>
      <c r="K8" s="5">
        <f t="shared" si="0"/>
        <v>2011</v>
      </c>
      <c r="L8" s="5">
        <f t="shared" si="0"/>
        <v>2012</v>
      </c>
      <c r="M8" s="5">
        <f t="shared" si="0"/>
        <v>2013</v>
      </c>
      <c r="N8" s="5">
        <f t="shared" si="0"/>
        <v>2014</v>
      </c>
    </row>
    <row r="9" spans="2:5" ht="12.75">
      <c r="B9" s="4" t="s">
        <v>6</v>
      </c>
      <c r="E9" s="2" t="s">
        <v>6</v>
      </c>
    </row>
    <row r="11" spans="2:14" ht="12.75">
      <c r="B11" s="4" t="s">
        <v>9</v>
      </c>
      <c r="C11" s="35">
        <f>+'Sector Telecomunicaciones'!B109</f>
        <v>110185</v>
      </c>
      <c r="D11" s="3">
        <f>+'Sector Telecomunicaciones'!C109</f>
        <v>95932</v>
      </c>
      <c r="E11" s="35">
        <f>+'Sector Telecomunicaciones'!F109</f>
        <v>100764.45023669035</v>
      </c>
      <c r="F11" s="35">
        <f>+'Sector Telecomunicaciones'!G109</f>
        <v>107249.40991539252</v>
      </c>
      <c r="G11" s="35">
        <f>+'Sector Telecomunicaciones'!H109</f>
        <v>113112.90009297791</v>
      </c>
      <c r="H11" s="35">
        <f>+'Sector Telecomunicaciones'!I109</f>
        <v>117652.49865253852</v>
      </c>
      <c r="I11" s="35">
        <f>+'Sector Telecomunicaciones'!J109</f>
        <v>122356.72773410089</v>
      </c>
      <c r="J11" s="35">
        <f>+'Sector Telecomunicaciones'!K109</f>
        <v>127233.38687866624</v>
      </c>
      <c r="K11" s="35">
        <f>+'Sector Telecomunicaciones'!L109</f>
        <v>132290.67246174428</v>
      </c>
      <c r="L11" s="35">
        <f>+'Sector Telecomunicaciones'!M109</f>
        <v>137537.19846120197</v>
      </c>
      <c r="M11" s="35">
        <f>+'Sector Telecomunicaciones'!N109</f>
        <v>142982.01833168766</v>
      </c>
      <c r="N11" s="35">
        <f>+'Sector Telecomunicaciones'!O109</f>
        <v>148634.64804531727</v>
      </c>
    </row>
    <row r="12" spans="2:14" ht="12.75">
      <c r="B12" s="4" t="s">
        <v>35</v>
      </c>
      <c r="C12" s="35">
        <f>+'Sector Telecomunicaciones'!B111</f>
        <v>272161</v>
      </c>
      <c r="D12" s="3">
        <f>+'Sector Telecomunicaciones'!C111</f>
        <v>227917</v>
      </c>
      <c r="E12" s="3">
        <f>+'Sector Telecomunicaciones'!F111</f>
        <v>196497.90000000002</v>
      </c>
      <c r="F12" s="3">
        <f>+'Sector Telecomunicaciones'!G111</f>
        <v>200427.858</v>
      </c>
      <c r="G12" s="3">
        <f>+'Sector Telecomunicaciones'!H111</f>
        <v>204436.41516</v>
      </c>
      <c r="H12" s="3">
        <f>+'Sector Telecomunicaciones'!I111</f>
        <v>208525.14346320005</v>
      </c>
      <c r="I12" s="3">
        <f>+'Sector Telecomunicaciones'!J111</f>
        <v>212695.64633246404</v>
      </c>
      <c r="J12" s="3">
        <f>+'Sector Telecomunicaciones'!K111</f>
        <v>216949.55925911333</v>
      </c>
      <c r="K12" s="3">
        <f>+'Sector Telecomunicaciones'!L111</f>
        <v>221288.5504442956</v>
      </c>
      <c r="L12" s="3">
        <f>+'Sector Telecomunicaciones'!M111</f>
        <v>225714.32145318153</v>
      </c>
      <c r="M12" s="3">
        <f>+'Sector Telecomunicaciones'!N111</f>
        <v>230228.60788224515</v>
      </c>
      <c r="N12" s="3">
        <f>+'Sector Telecomunicaciones'!O111</f>
        <v>234833.18003989002</v>
      </c>
    </row>
    <row r="13" spans="2:14" ht="12.75">
      <c r="B13" s="4" t="s">
        <v>141</v>
      </c>
      <c r="C13" s="35">
        <f>+'Sector Telecomunicaciones'!B118</f>
        <v>-62776</v>
      </c>
      <c r="D13" s="3">
        <f>+'Sector Telecomunicaciones'!C115+'Sector Telecomunicaciones'!C118</f>
        <v>-44768</v>
      </c>
      <c r="E13" s="3">
        <f>+'Sector Telecomunicaciones'!F115+'Sector Telecomunicaciones'!F118</f>
        <v>-26218</v>
      </c>
      <c r="F13" s="3">
        <f>+'Sector Telecomunicaciones'!G115+'Sector Telecomunicaciones'!G118</f>
        <v>-26218</v>
      </c>
      <c r="G13" s="3">
        <f>+'Sector Telecomunicaciones'!H115+'Sector Telecomunicaciones'!H118</f>
        <v>-26218</v>
      </c>
      <c r="H13" s="3">
        <f>+'Sector Telecomunicaciones'!I115+'Sector Telecomunicaciones'!I118</f>
        <v>-26218</v>
      </c>
      <c r="I13" s="3">
        <f>+'Sector Telecomunicaciones'!J115+'Sector Telecomunicaciones'!J118</f>
        <v>-26218</v>
      </c>
      <c r="J13" s="3">
        <f>+'Sector Telecomunicaciones'!K115+'Sector Telecomunicaciones'!K118</f>
        <v>-26218</v>
      </c>
      <c r="K13" s="3">
        <f>+'Sector Telecomunicaciones'!L115+'Sector Telecomunicaciones'!L118</f>
        <v>-26218</v>
      </c>
      <c r="L13" s="3">
        <f>+'Sector Telecomunicaciones'!M115+'Sector Telecomunicaciones'!M118</f>
        <v>-26218</v>
      </c>
      <c r="M13" s="3">
        <f>+'Sector Telecomunicaciones'!N115+'Sector Telecomunicaciones'!N118</f>
        <v>-26218</v>
      </c>
      <c r="N13" s="3">
        <f>+'Sector Telecomunicaciones'!O115+'Sector Telecomunicaciones'!O118</f>
        <v>-26218</v>
      </c>
    </row>
    <row r="14" spans="2:14" ht="12.75">
      <c r="B14" s="4" t="s">
        <v>36</v>
      </c>
      <c r="D14" s="2">
        <v>0</v>
      </c>
      <c r="E14" s="3">
        <f>-0.1*('Sector Telecomunicaciones'!F28-'Sector Telecomunicaciones'!C28)</f>
        <v>12992.051108545274</v>
      </c>
      <c r="F14" s="3">
        <f>-0.2*('Sector Telecomunicaciones'!G28-'Sector Telecomunicaciones'!F28)</f>
        <v>-2202.583988978062</v>
      </c>
      <c r="G14" s="3">
        <f>-0.2*('Sector Telecomunicaciones'!H28-'Sector Telecomunicaciones'!G28)</f>
        <v>-2132.0390034473735</v>
      </c>
      <c r="H14" s="3">
        <f>-0.2*('Sector Telecomunicaciones'!I28-'Sector Telecomunicaciones'!H28)</f>
        <v>-1885.4587846108016</v>
      </c>
      <c r="I14" s="3">
        <f>-0.2*('Sector Telecomunicaciones'!J28-'Sector Telecomunicaciones'!I28)</f>
        <v>-1936.939150405978</v>
      </c>
      <c r="J14" s="3">
        <f>-0.2*('Sector Telecomunicaciones'!K28-'Sector Telecomunicaciones'!J28)</f>
        <v>-1990.3426885560157</v>
      </c>
      <c r="K14" s="3">
        <f>-0.2*('Sector Telecomunicaciones'!L28-'Sector Telecomunicaciones'!K28)</f>
        <v>-2045.7560173587408</v>
      </c>
      <c r="L14" s="3">
        <f>-0.2*('Sector Telecomunicaciones'!M28-'Sector Telecomunicaciones'!L28)</f>
        <v>-2103.2700555005345</v>
      </c>
      <c r="M14" s="3">
        <f>-0.2*('Sector Telecomunicaciones'!N28-'Sector Telecomunicaciones'!M28)</f>
        <v>-2162.9802463836504</v>
      </c>
      <c r="N14" s="3">
        <f>-0.2*('Sector Telecomunicaciones'!O28-'Sector Telecomunicaciones'!N28)</f>
        <v>-2224.986794453254</v>
      </c>
    </row>
    <row r="15" spans="2:14" s="12" customFormat="1" ht="12.75">
      <c r="B15" s="12" t="s">
        <v>37</v>
      </c>
      <c r="C15" s="3" t="s">
        <v>6</v>
      </c>
      <c r="D15" s="3">
        <f>-151*600</f>
        <v>-90600</v>
      </c>
      <c r="E15" s="3">
        <f>-150*600</f>
        <v>-90000</v>
      </c>
      <c r="F15" s="3">
        <f aca="true" t="shared" si="1" ref="F15:N15">-150*600</f>
        <v>-90000</v>
      </c>
      <c r="G15" s="3">
        <f t="shared" si="1"/>
        <v>-90000</v>
      </c>
      <c r="H15" s="3">
        <f t="shared" si="1"/>
        <v>-90000</v>
      </c>
      <c r="I15" s="3">
        <f t="shared" si="1"/>
        <v>-90000</v>
      </c>
      <c r="J15" s="3">
        <f t="shared" si="1"/>
        <v>-90000</v>
      </c>
      <c r="K15" s="3">
        <f t="shared" si="1"/>
        <v>-90000</v>
      </c>
      <c r="L15" s="3">
        <f t="shared" si="1"/>
        <v>-90000</v>
      </c>
      <c r="M15" s="3">
        <f t="shared" si="1"/>
        <v>-90000</v>
      </c>
      <c r="N15" s="3">
        <f t="shared" si="1"/>
        <v>-90000</v>
      </c>
    </row>
    <row r="16" spans="3:15" ht="12.75">
      <c r="C16" s="4"/>
      <c r="O16" s="2"/>
    </row>
    <row r="17" spans="3:15" ht="12.75">
      <c r="C17" s="4"/>
      <c r="O17" s="2"/>
    </row>
    <row r="18" spans="3:15" ht="12.75">
      <c r="C18" s="4"/>
      <c r="O18" s="2"/>
    </row>
    <row r="19" spans="3:15" ht="12.75">
      <c r="C19" s="4"/>
      <c r="N19" s="2" t="s">
        <v>6</v>
      </c>
      <c r="O19" s="2"/>
    </row>
    <row r="20" spans="2:15" ht="12.75">
      <c r="B20" s="1" t="s">
        <v>124</v>
      </c>
      <c r="C20" s="4"/>
      <c r="D20" s="6">
        <f>+D11+D12+D13+D14+D15</f>
        <v>188481</v>
      </c>
      <c r="E20" s="6">
        <f aca="true" t="shared" si="2" ref="E20:N20">+E11+E12+E13+E14+E15</f>
        <v>194036.40134523564</v>
      </c>
      <c r="F20" s="6">
        <f t="shared" si="2"/>
        <v>189256.68392641447</v>
      </c>
      <c r="G20" s="6">
        <f t="shared" si="2"/>
        <v>199199.2762495305</v>
      </c>
      <c r="H20" s="6">
        <f t="shared" si="2"/>
        <v>208074.1833311278</v>
      </c>
      <c r="I20" s="6">
        <f t="shared" si="2"/>
        <v>216897.43491615896</v>
      </c>
      <c r="J20" s="6">
        <f t="shared" si="2"/>
        <v>225974.60344922356</v>
      </c>
      <c r="K20" s="6">
        <f t="shared" si="2"/>
        <v>235315.46688868117</v>
      </c>
      <c r="L20" s="6">
        <f t="shared" si="2"/>
        <v>244930.24985888298</v>
      </c>
      <c r="M20" s="6">
        <f t="shared" si="2"/>
        <v>254829.64596754918</v>
      </c>
      <c r="N20" s="6">
        <f t="shared" si="2"/>
        <v>265024.84129075403</v>
      </c>
      <c r="O20" s="6">
        <f>+(N10+N11+N12+N14+N15)/D29</f>
        <v>3441447.7630424215</v>
      </c>
    </row>
    <row r="21" spans="2:15" ht="12.75">
      <c r="B21" s="4" t="s">
        <v>125</v>
      </c>
      <c r="C21" s="4"/>
      <c r="O21" s="6" t="s">
        <v>6</v>
      </c>
    </row>
    <row r="22" spans="2:15" ht="12.75">
      <c r="B22" s="4" t="s">
        <v>126</v>
      </c>
      <c r="C22" s="4"/>
      <c r="D22" s="40">
        <f>NPV(D29,E20:O20)</f>
        <v>2839102.96504321</v>
      </c>
      <c r="O22" s="2"/>
    </row>
    <row r="23" spans="1:15" ht="12.75">
      <c r="A23" s="4" t="s">
        <v>178</v>
      </c>
      <c r="B23" s="4" t="s">
        <v>127</v>
      </c>
      <c r="C23" s="4"/>
      <c r="D23" s="41">
        <v>0.0289</v>
      </c>
      <c r="O23" s="2"/>
    </row>
    <row r="24" spans="2:15" ht="12.75">
      <c r="B24" s="4" t="s">
        <v>138</v>
      </c>
      <c r="C24" s="4"/>
      <c r="D24" s="42">
        <v>1.5</v>
      </c>
      <c r="O24" s="2"/>
    </row>
    <row r="25" spans="2:15" ht="12.75">
      <c r="B25" s="4" t="s">
        <v>128</v>
      </c>
      <c r="C25" s="4"/>
      <c r="D25" s="8">
        <v>0.04</v>
      </c>
      <c r="O25" s="2"/>
    </row>
    <row r="26" spans="1:15" ht="12.75">
      <c r="A26" s="4" t="s">
        <v>179</v>
      </c>
      <c r="B26" s="4" t="s">
        <v>129</v>
      </c>
      <c r="C26" s="4"/>
      <c r="D26" s="41">
        <f>+D23+D24*D25</f>
        <v>0.08889999999999999</v>
      </c>
      <c r="O26" s="2"/>
    </row>
    <row r="27" spans="1:15" ht="12.75">
      <c r="A27" s="4" t="s">
        <v>180</v>
      </c>
      <c r="B27" s="4" t="s">
        <v>130</v>
      </c>
      <c r="C27" s="4"/>
      <c r="D27" s="41">
        <v>0.08</v>
      </c>
      <c r="O27" s="2"/>
    </row>
    <row r="28" spans="1:15" ht="12.75">
      <c r="A28" s="4" t="s">
        <v>181</v>
      </c>
      <c r="B28" s="4" t="s">
        <v>131</v>
      </c>
      <c r="C28" s="4"/>
      <c r="D28" s="45">
        <f>+(348358+559759)/1894620</f>
        <v>0.4793135298898988</v>
      </c>
      <c r="O28" s="2"/>
    </row>
    <row r="29" spans="1:15" ht="12.75">
      <c r="A29" s="4" t="s">
        <v>182</v>
      </c>
      <c r="B29" s="1" t="s">
        <v>132</v>
      </c>
      <c r="C29" s="1"/>
      <c r="D29" s="43">
        <f>0.52*D26+0.48*D27</f>
        <v>0.084628</v>
      </c>
      <c r="O29" s="2"/>
    </row>
    <row r="30" spans="3:15" ht="12.75">
      <c r="C30" s="4"/>
      <c r="O30" s="2"/>
    </row>
    <row r="31" spans="2:15" ht="12.75">
      <c r="B31" s="1" t="s">
        <v>133</v>
      </c>
      <c r="C31" s="1"/>
      <c r="D31" s="44">
        <f>+D22</f>
        <v>2839102.96504321</v>
      </c>
      <c r="O31" s="2"/>
    </row>
    <row r="32" spans="2:15" ht="12.75">
      <c r="B32" s="1" t="s">
        <v>134</v>
      </c>
      <c r="C32" s="1"/>
      <c r="D32" s="6">
        <f>348358+559759</f>
        <v>908117</v>
      </c>
      <c r="O32" s="2"/>
    </row>
    <row r="33" spans="2:15" ht="12.75">
      <c r="B33" s="1" t="s">
        <v>135</v>
      </c>
      <c r="C33" s="1"/>
      <c r="D33" s="6">
        <f>+D31-D32</f>
        <v>1930985.96504321</v>
      </c>
      <c r="O33" s="2"/>
    </row>
    <row r="34" spans="3:15" ht="12.75">
      <c r="C34" s="4"/>
      <c r="O34" s="2"/>
    </row>
    <row r="35" spans="1:15" ht="12.75">
      <c r="A35" s="4" t="s">
        <v>183</v>
      </c>
      <c r="B35" s="1" t="s">
        <v>136</v>
      </c>
      <c r="C35" s="4"/>
      <c r="D35" s="6">
        <f>873.995447+83.161638</f>
        <v>957.157085</v>
      </c>
      <c r="O35" s="2"/>
    </row>
    <row r="36" spans="2:15" ht="12.75">
      <c r="B36" s="1" t="s">
        <v>137</v>
      </c>
      <c r="C36" s="1"/>
      <c r="D36" s="7">
        <f>+D33/D35</f>
        <v>2017.418034410945</v>
      </c>
      <c r="O36" s="2"/>
    </row>
    <row r="37" spans="3:15" ht="12.75">
      <c r="C37" s="4"/>
      <c r="O37" s="2"/>
    </row>
    <row r="38" spans="3:15" ht="12.75">
      <c r="C38" s="4"/>
      <c r="O38" s="2"/>
    </row>
    <row r="39" spans="3:15" ht="12.75">
      <c r="C39" s="4"/>
      <c r="O39" s="2"/>
    </row>
    <row r="40" spans="3:15" ht="12.75">
      <c r="C40" s="4"/>
      <c r="O40" s="2"/>
    </row>
  </sheetData>
  <printOptions/>
  <pageMargins left="0.75" right="0.75" top="1" bottom="1" header="0" footer="0"/>
  <pageSetup fitToHeight="1" fitToWidth="1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17"/>
  <sheetViews>
    <sheetView tabSelected="1" workbookViewId="0" topLeftCell="J1">
      <selection activeCell="P81" sqref="P81"/>
    </sheetView>
  </sheetViews>
  <sheetFormatPr defaultColWidth="11.421875" defaultRowHeight="12.75"/>
  <cols>
    <col min="1" max="1" width="45.57421875" style="4" customWidth="1"/>
    <col min="2" max="2" width="6.7109375" style="3" hidden="1" customWidth="1"/>
    <col min="3" max="3" width="11.140625" style="3" customWidth="1"/>
    <col min="4" max="4" width="11.421875" style="3" hidden="1" customWidth="1"/>
    <col min="5" max="5" width="1.7109375" style="3" hidden="1" customWidth="1"/>
    <col min="6" max="7" width="11.421875" style="3" customWidth="1"/>
    <col min="8" max="15" width="11.421875" style="2" customWidth="1"/>
    <col min="16" max="16" width="49.00390625" style="55" customWidth="1"/>
    <col min="17" max="17" width="21.7109375" style="4" customWidth="1"/>
    <col min="18" max="16384" width="11.421875" style="4" customWidth="1"/>
  </cols>
  <sheetData>
    <row r="1" ht="12.75">
      <c r="A1" s="4" t="s">
        <v>6</v>
      </c>
    </row>
    <row r="2" spans="1:17" s="13" customFormat="1" ht="12.75">
      <c r="A2" s="13" t="s">
        <v>38</v>
      </c>
      <c r="B2" s="7" t="s">
        <v>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54" t="s">
        <v>164</v>
      </c>
      <c r="Q2" s="5" t="s">
        <v>165</v>
      </c>
    </row>
    <row r="3" spans="2:16" ht="12.75">
      <c r="B3" s="5" t="s">
        <v>1</v>
      </c>
      <c r="C3" s="5" t="s">
        <v>1</v>
      </c>
      <c r="D3" s="5" t="s">
        <v>82</v>
      </c>
      <c r="E3" s="5"/>
      <c r="F3" s="6" t="s">
        <v>2</v>
      </c>
      <c r="G3" s="5" t="s">
        <v>3</v>
      </c>
      <c r="H3" s="5" t="s">
        <v>4</v>
      </c>
      <c r="I3" s="5" t="s">
        <v>5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5" t="s">
        <v>34</v>
      </c>
      <c r="P3" s="55" t="s">
        <v>6</v>
      </c>
    </row>
    <row r="4" spans="2:16" ht="12.75">
      <c r="B4" s="5">
        <v>2003</v>
      </c>
      <c r="C4" s="5">
        <v>2004</v>
      </c>
      <c r="D4" s="5">
        <v>2004</v>
      </c>
      <c r="E4" s="5"/>
      <c r="F4" s="7">
        <v>2005</v>
      </c>
      <c r="G4" s="5">
        <v>2006</v>
      </c>
      <c r="H4" s="5">
        <v>2007</v>
      </c>
      <c r="I4" s="5">
        <v>2008</v>
      </c>
      <c r="J4" s="5">
        <f aca="true" t="shared" si="0" ref="J4:O4">+I4+1</f>
        <v>2009</v>
      </c>
      <c r="K4" s="5">
        <f t="shared" si="0"/>
        <v>2010</v>
      </c>
      <c r="L4" s="5">
        <f t="shared" si="0"/>
        <v>2011</v>
      </c>
      <c r="M4" s="5">
        <f t="shared" si="0"/>
        <v>2012</v>
      </c>
      <c r="N4" s="5">
        <f t="shared" si="0"/>
        <v>2013</v>
      </c>
      <c r="O4" s="5">
        <f t="shared" si="0"/>
        <v>2014</v>
      </c>
      <c r="P4" s="55" t="s">
        <v>6</v>
      </c>
    </row>
    <row r="5" spans="1:15" ht="12.75">
      <c r="A5" s="14" t="s">
        <v>43</v>
      </c>
      <c r="B5" s="15"/>
      <c r="C5" s="15"/>
      <c r="D5" s="15"/>
      <c r="E5" s="15"/>
      <c r="F5" s="1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14"/>
      <c r="B6" s="15"/>
      <c r="C6" s="15"/>
      <c r="D6" s="15"/>
      <c r="E6" s="15"/>
      <c r="F6" s="1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14" t="s">
        <v>91</v>
      </c>
      <c r="B7" s="53" t="s">
        <v>6</v>
      </c>
      <c r="C7" s="15"/>
      <c r="D7" s="15"/>
      <c r="E7" s="15"/>
      <c r="F7" s="15"/>
      <c r="G7" s="5"/>
      <c r="H7" s="5"/>
      <c r="I7" s="5"/>
      <c r="J7" s="5"/>
      <c r="K7" s="5"/>
      <c r="L7" s="5"/>
      <c r="M7" s="5"/>
      <c r="N7" s="5"/>
      <c r="O7" s="5"/>
    </row>
    <row r="8" spans="1:50" ht="12.75">
      <c r="A8" s="24" t="s">
        <v>83</v>
      </c>
      <c r="B8" s="31">
        <v>2416779</v>
      </c>
      <c r="C8" s="31">
        <v>2427364</v>
      </c>
      <c r="D8" s="31">
        <v>2427364</v>
      </c>
      <c r="E8" s="31">
        <v>2437542</v>
      </c>
      <c r="F8" s="31">
        <f>+C8*1.01</f>
        <v>2451637.64</v>
      </c>
      <c r="G8" s="3">
        <f>+F8*1.01</f>
        <v>2476154.0164</v>
      </c>
      <c r="H8" s="3">
        <f aca="true" t="shared" si="1" ref="H8:O9">+G8*1.01</f>
        <v>2500915.556564</v>
      </c>
      <c r="I8" s="3">
        <f t="shared" si="1"/>
        <v>2525924.71212964</v>
      </c>
      <c r="J8" s="3">
        <f t="shared" si="1"/>
        <v>2551183.9592509363</v>
      </c>
      <c r="K8" s="3">
        <f t="shared" si="1"/>
        <v>2576695.7988434457</v>
      </c>
      <c r="L8" s="3">
        <f t="shared" si="1"/>
        <v>2602462.75683188</v>
      </c>
      <c r="M8" s="3">
        <f t="shared" si="1"/>
        <v>2628487.384400199</v>
      </c>
      <c r="N8" s="3">
        <f t="shared" si="1"/>
        <v>2654772.258244201</v>
      </c>
      <c r="O8" s="3">
        <f t="shared" si="1"/>
        <v>2681319.9808266433</v>
      </c>
      <c r="P8" s="56" t="s">
        <v>6</v>
      </c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</row>
    <row r="9" spans="1:50" ht="17.25" customHeight="1">
      <c r="A9" s="24" t="s">
        <v>84</v>
      </c>
      <c r="B9" s="31">
        <v>2558291</v>
      </c>
      <c r="C9" s="31">
        <v>2406266</v>
      </c>
      <c r="D9" s="31">
        <v>2456591</v>
      </c>
      <c r="E9" s="31">
        <v>2432777</v>
      </c>
      <c r="F9" s="31">
        <f>+C9*1.01</f>
        <v>2430328.66</v>
      </c>
      <c r="G9" s="3">
        <f>+F9*1.01</f>
        <v>2454631.9466000004</v>
      </c>
      <c r="H9" s="3">
        <f t="shared" si="1"/>
        <v>2479178.2660660003</v>
      </c>
      <c r="I9" s="3">
        <f t="shared" si="1"/>
        <v>2503970.04872666</v>
      </c>
      <c r="J9" s="3">
        <f t="shared" si="1"/>
        <v>2529009.749213927</v>
      </c>
      <c r="K9" s="3">
        <f t="shared" si="1"/>
        <v>2554299.8467060663</v>
      </c>
      <c r="L9" s="3">
        <f t="shared" si="1"/>
        <v>2579842.845173127</v>
      </c>
      <c r="M9" s="3">
        <f t="shared" si="1"/>
        <v>2605641.2736248584</v>
      </c>
      <c r="N9" s="3">
        <f t="shared" si="1"/>
        <v>2631697.686361107</v>
      </c>
      <c r="O9" s="3">
        <f t="shared" si="1"/>
        <v>2658014.663224718</v>
      </c>
      <c r="P9" s="60" t="s">
        <v>155</v>
      </c>
      <c r="Q9" s="6" t="s">
        <v>168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</row>
    <row r="10" spans="1:50" ht="0.75" customHeight="1" hidden="1">
      <c r="A10" s="24" t="s">
        <v>85</v>
      </c>
      <c r="B10" s="31">
        <v>308266</v>
      </c>
      <c r="C10" s="31">
        <v>343318</v>
      </c>
      <c r="D10" s="31"/>
      <c r="E10" s="31"/>
      <c r="F10" s="31"/>
      <c r="H10" s="3"/>
      <c r="I10" s="3"/>
      <c r="J10" s="3"/>
      <c r="K10" s="3"/>
      <c r="L10" s="3"/>
      <c r="M10" s="3"/>
      <c r="N10" s="3"/>
      <c r="O10" s="3"/>
      <c r="P10" s="60" t="s">
        <v>148</v>
      </c>
      <c r="Q10" s="6" t="s">
        <v>168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</row>
    <row r="11" spans="1:50" ht="25.5" hidden="1">
      <c r="A11" s="24" t="s">
        <v>86</v>
      </c>
      <c r="B11" s="31">
        <v>15178</v>
      </c>
      <c r="C11" s="31">
        <v>13759</v>
      </c>
      <c r="D11" s="31"/>
      <c r="E11" s="31"/>
      <c r="F11" s="31"/>
      <c r="H11" s="3"/>
      <c r="I11" s="3"/>
      <c r="J11" s="3"/>
      <c r="K11" s="3"/>
      <c r="L11" s="3"/>
      <c r="M11" s="3"/>
      <c r="N11" s="3"/>
      <c r="O11" s="3"/>
      <c r="P11" s="60" t="s">
        <v>148</v>
      </c>
      <c r="Q11" s="6" t="s">
        <v>168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</row>
    <row r="12" spans="1:50" ht="25.5" hidden="1">
      <c r="A12" s="24" t="s">
        <v>87</v>
      </c>
      <c r="B12" s="31">
        <v>5582</v>
      </c>
      <c r="C12" s="31">
        <v>4673</v>
      </c>
      <c r="D12" s="31"/>
      <c r="E12" s="31"/>
      <c r="F12" s="31"/>
      <c r="H12" s="3"/>
      <c r="I12" s="3"/>
      <c r="J12" s="3"/>
      <c r="K12" s="3"/>
      <c r="L12" s="3"/>
      <c r="M12" s="3"/>
      <c r="N12" s="3"/>
      <c r="O12" s="3"/>
      <c r="P12" s="60" t="s">
        <v>148</v>
      </c>
      <c r="Q12" s="6" t="s">
        <v>168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</row>
    <row r="13" spans="1:50" ht="37.5" customHeight="1">
      <c r="A13" s="24" t="s">
        <v>88</v>
      </c>
      <c r="B13" s="31">
        <v>647</v>
      </c>
      <c r="C13" s="31">
        <v>664</v>
      </c>
      <c r="D13" s="34">
        <f>+C13/B13-1</f>
        <v>0.026275115919629055</v>
      </c>
      <c r="E13" s="31"/>
      <c r="F13" s="31">
        <f>1.03*C13</f>
        <v>683.9200000000001</v>
      </c>
      <c r="G13" s="3">
        <f>1.03*F13</f>
        <v>704.4376000000001</v>
      </c>
      <c r="H13" s="3">
        <f aca="true" t="shared" si="2" ref="H13:O13">1.03*G13</f>
        <v>725.5707280000001</v>
      </c>
      <c r="I13" s="3">
        <f t="shared" si="2"/>
        <v>747.3378498400002</v>
      </c>
      <c r="J13" s="3">
        <f t="shared" si="2"/>
        <v>769.7579853352003</v>
      </c>
      <c r="K13" s="3">
        <f t="shared" si="2"/>
        <v>792.8507248952562</v>
      </c>
      <c r="L13" s="3">
        <f t="shared" si="2"/>
        <v>816.636246642114</v>
      </c>
      <c r="M13" s="3">
        <f t="shared" si="2"/>
        <v>841.1353340413774</v>
      </c>
      <c r="N13" s="3">
        <f t="shared" si="2"/>
        <v>866.3693940626188</v>
      </c>
      <c r="O13" s="3">
        <f t="shared" si="2"/>
        <v>892.3604758844973</v>
      </c>
      <c r="P13" s="60" t="s">
        <v>149</v>
      </c>
      <c r="Q13" s="6" t="s">
        <v>168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ht="25.5">
      <c r="A14" s="24" t="s">
        <v>89</v>
      </c>
      <c r="B14" s="31">
        <v>64</v>
      </c>
      <c r="C14" s="31">
        <v>67</v>
      </c>
      <c r="D14" s="34">
        <f>+C14/B14-1</f>
        <v>0.046875</v>
      </c>
      <c r="E14" s="31"/>
      <c r="F14" s="31">
        <f>1.03*C14</f>
        <v>69.01</v>
      </c>
      <c r="G14" s="3">
        <f>1.03*F14</f>
        <v>71.08030000000001</v>
      </c>
      <c r="H14" s="3">
        <f aca="true" t="shared" si="3" ref="H14:O14">1.03*G14</f>
        <v>73.212709</v>
      </c>
      <c r="I14" s="3">
        <f t="shared" si="3"/>
        <v>75.40909027000001</v>
      </c>
      <c r="J14" s="3">
        <f t="shared" si="3"/>
        <v>77.6713629781</v>
      </c>
      <c r="K14" s="3">
        <f t="shared" si="3"/>
        <v>80.001503867443</v>
      </c>
      <c r="L14" s="3">
        <f t="shared" si="3"/>
        <v>82.4015489834663</v>
      </c>
      <c r="M14" s="3">
        <f t="shared" si="3"/>
        <v>84.87359545297029</v>
      </c>
      <c r="N14" s="3">
        <f t="shared" si="3"/>
        <v>87.41980331655941</v>
      </c>
      <c r="O14" s="3">
        <f t="shared" si="3"/>
        <v>90.04239741605619</v>
      </c>
      <c r="P14" s="60" t="s">
        <v>149</v>
      </c>
      <c r="Q14" s="6" t="s">
        <v>168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51">
      <c r="A15" s="24" t="s">
        <v>90</v>
      </c>
      <c r="B15" s="31">
        <v>125262</v>
      </c>
      <c r="C15" s="31">
        <v>200794</v>
      </c>
      <c r="D15" s="31"/>
      <c r="E15" s="31"/>
      <c r="F15" s="31">
        <f>+C15*1.2</f>
        <v>240952.8</v>
      </c>
      <c r="G15" s="3">
        <f>+F15*1.15</f>
        <v>277095.72</v>
      </c>
      <c r="H15" s="3">
        <f>+G15*1.1</f>
        <v>304805.292</v>
      </c>
      <c r="I15" s="3">
        <f>+H15*1.055</f>
        <v>321569.58306</v>
      </c>
      <c r="J15" s="3">
        <f aca="true" t="shared" si="4" ref="J15:O15">+I15*1.055</f>
        <v>339255.91012829996</v>
      </c>
      <c r="K15" s="3">
        <f t="shared" si="4"/>
        <v>357914.98518535646</v>
      </c>
      <c r="L15" s="3">
        <f t="shared" si="4"/>
        <v>377600.309370551</v>
      </c>
      <c r="M15" s="3">
        <f t="shared" si="4"/>
        <v>398368.3263859313</v>
      </c>
      <c r="N15" s="3">
        <f t="shared" si="4"/>
        <v>420278.5843371575</v>
      </c>
      <c r="O15" s="3">
        <f t="shared" si="4"/>
        <v>443393.90647570114</v>
      </c>
      <c r="P15" s="60" t="s">
        <v>150</v>
      </c>
      <c r="Q15" s="6" t="s">
        <v>168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</row>
    <row r="16" spans="1:15" ht="12.75">
      <c r="A16" s="14" t="s">
        <v>6</v>
      </c>
      <c r="B16" s="15"/>
      <c r="C16" s="15"/>
      <c r="D16" s="15"/>
      <c r="E16" s="15"/>
      <c r="F16" s="1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14"/>
      <c r="B17" s="15"/>
      <c r="C17" s="15" t="s">
        <v>6</v>
      </c>
      <c r="D17" s="15"/>
      <c r="E17" s="15"/>
      <c r="F17" s="1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4" t="s">
        <v>109</v>
      </c>
      <c r="B18" s="15"/>
      <c r="C18" s="15"/>
      <c r="D18" s="15"/>
      <c r="E18" s="15"/>
      <c r="F18" s="1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4"/>
      <c r="B19" s="15"/>
      <c r="C19" s="15"/>
      <c r="D19" s="15"/>
      <c r="E19" s="15"/>
      <c r="F19" s="15"/>
      <c r="G19" s="5"/>
      <c r="H19" s="5"/>
      <c r="I19" s="5"/>
      <c r="J19" s="5"/>
      <c r="K19" s="5"/>
      <c r="L19" s="5"/>
      <c r="M19" s="5"/>
      <c r="N19" s="5"/>
      <c r="O19" s="5"/>
    </row>
    <row r="20" spans="1:17" ht="25.5">
      <c r="A20" s="24" t="s">
        <v>98</v>
      </c>
      <c r="B20" s="32">
        <f>+B32/B9</f>
        <v>0.060957099876440955</v>
      </c>
      <c r="C20" s="32">
        <f>+C32/C9</f>
        <v>0.06100946445654803</v>
      </c>
      <c r="D20" s="15"/>
      <c r="E20" s="15"/>
      <c r="F20" s="32">
        <v>0.06100946445654803</v>
      </c>
      <c r="G20" s="32">
        <v>0.06100946445654803</v>
      </c>
      <c r="H20" s="32">
        <v>0.06100946445654803</v>
      </c>
      <c r="I20" s="32">
        <v>0.06100946445654803</v>
      </c>
      <c r="J20" s="32">
        <v>0.06100946445654803</v>
      </c>
      <c r="K20" s="32">
        <v>0.06100946445654803</v>
      </c>
      <c r="L20" s="32">
        <v>0.06100946445654803</v>
      </c>
      <c r="M20" s="32">
        <v>0.06100946445654803</v>
      </c>
      <c r="N20" s="32">
        <v>0.06100946445654803</v>
      </c>
      <c r="O20" s="32">
        <v>0.06100946445654803</v>
      </c>
      <c r="P20" s="60" t="s">
        <v>151</v>
      </c>
      <c r="Q20" s="7" t="s">
        <v>169</v>
      </c>
    </row>
    <row r="21" spans="1:17" ht="24" customHeight="1">
      <c r="A21" s="24" t="s">
        <v>99</v>
      </c>
      <c r="B21" s="32">
        <f>+B33/B9</f>
        <v>0.05755482859455785</v>
      </c>
      <c r="C21" s="32">
        <f>+C33/C9</f>
        <v>0.04911925780441564</v>
      </c>
      <c r="D21" s="15"/>
      <c r="E21" s="15"/>
      <c r="F21" s="32">
        <v>0.04911925780441564</v>
      </c>
      <c r="G21" s="32">
        <v>0.04911925780441564</v>
      </c>
      <c r="H21" s="32">
        <v>0.04911925780441564</v>
      </c>
      <c r="I21" s="32">
        <v>0.04911925780441564</v>
      </c>
      <c r="J21" s="32">
        <v>0.04911925780441564</v>
      </c>
      <c r="K21" s="32">
        <v>0.04911925780441564</v>
      </c>
      <c r="L21" s="32">
        <v>0.04911925780441564</v>
      </c>
      <c r="M21" s="32">
        <v>0.04911925780441564</v>
      </c>
      <c r="N21" s="32">
        <v>0.04911925780441564</v>
      </c>
      <c r="O21" s="32">
        <v>0.04911925780441564</v>
      </c>
      <c r="P21" s="60" t="s">
        <v>151</v>
      </c>
      <c r="Q21" s="7" t="s">
        <v>169</v>
      </c>
    </row>
    <row r="22" spans="1:17" ht="12.75" hidden="1">
      <c r="A22" s="24" t="s">
        <v>100</v>
      </c>
      <c r="B22" s="32">
        <f>+B34/B10</f>
        <v>0.018694893371309192</v>
      </c>
      <c r="C22" s="32">
        <f>+C34/C10</f>
        <v>0.011348079622973453</v>
      </c>
      <c r="D22" s="15"/>
      <c r="E22" s="15"/>
      <c r="F22" s="15"/>
      <c r="G22" s="2"/>
      <c r="P22" s="58" t="s">
        <v>151</v>
      </c>
      <c r="Q22" s="7" t="s">
        <v>169</v>
      </c>
    </row>
    <row r="23" spans="1:17" ht="25.5">
      <c r="A23" s="24" t="s">
        <v>40</v>
      </c>
      <c r="B23" s="32">
        <f>+B38/B15</f>
        <v>0.10769427280420239</v>
      </c>
      <c r="C23" s="32">
        <f>+C38/C15</f>
        <v>0.12531250933792842</v>
      </c>
      <c r="D23" s="15"/>
      <c r="E23" s="15"/>
      <c r="F23" s="32">
        <v>0.12531250933792842</v>
      </c>
      <c r="G23" s="32">
        <v>0.12531250933792842</v>
      </c>
      <c r="H23" s="32">
        <v>0.12531250933792842</v>
      </c>
      <c r="I23" s="32">
        <v>0.12531250933792842</v>
      </c>
      <c r="J23" s="32">
        <v>0.12531250933792842</v>
      </c>
      <c r="K23" s="32">
        <v>0.12531250933792842</v>
      </c>
      <c r="L23" s="32">
        <v>0.12531250933792842</v>
      </c>
      <c r="M23" s="32">
        <v>0.12531250933792842</v>
      </c>
      <c r="N23" s="32">
        <v>0.12531250933792842</v>
      </c>
      <c r="O23" s="32">
        <v>0.12531250933792842</v>
      </c>
      <c r="P23" s="60" t="s">
        <v>151</v>
      </c>
      <c r="Q23" s="7" t="s">
        <v>169</v>
      </c>
    </row>
    <row r="24" spans="1:17" ht="25.5">
      <c r="A24" s="24" t="s">
        <v>101</v>
      </c>
      <c r="B24" s="32">
        <f>+B55/B13</f>
        <v>41.52086553323029</v>
      </c>
      <c r="C24" s="32">
        <f>+C55/C13</f>
        <v>37.08433734939759</v>
      </c>
      <c r="D24" s="15"/>
      <c r="E24" s="15"/>
      <c r="F24" s="32">
        <v>37.08433734939759</v>
      </c>
      <c r="G24" s="32">
        <v>37.08433734939759</v>
      </c>
      <c r="H24" s="32">
        <v>37.08433734939759</v>
      </c>
      <c r="I24" s="32">
        <v>37.08433734939759</v>
      </c>
      <c r="J24" s="32">
        <v>37.08433734939759</v>
      </c>
      <c r="K24" s="32">
        <v>37.08433734939759</v>
      </c>
      <c r="L24" s="32">
        <v>37.08433734939759</v>
      </c>
      <c r="M24" s="32">
        <v>37.08433734939759</v>
      </c>
      <c r="N24" s="32">
        <v>37.08433734939759</v>
      </c>
      <c r="O24" s="32">
        <v>37.08433734939759</v>
      </c>
      <c r="P24" s="60" t="s">
        <v>151</v>
      </c>
      <c r="Q24" s="7" t="s">
        <v>169</v>
      </c>
    </row>
    <row r="25" spans="1:17" ht="25.5">
      <c r="A25" s="24" t="s">
        <v>102</v>
      </c>
      <c r="B25" s="32">
        <f>+B56/B14</f>
        <v>393.59375</v>
      </c>
      <c r="C25" s="32">
        <f>+C56/C14</f>
        <v>357.1194029850746</v>
      </c>
      <c r="D25" s="15"/>
      <c r="E25" s="15"/>
      <c r="F25" s="32">
        <v>357.1194029850746</v>
      </c>
      <c r="G25" s="32">
        <v>357.1194029850746</v>
      </c>
      <c r="H25" s="32">
        <v>357.1194029850746</v>
      </c>
      <c r="I25" s="32">
        <v>357.1194029850746</v>
      </c>
      <c r="J25" s="32">
        <v>357.1194029850746</v>
      </c>
      <c r="K25" s="32">
        <v>357.1194029850746</v>
      </c>
      <c r="L25" s="32">
        <v>357.1194029850746</v>
      </c>
      <c r="M25" s="32">
        <v>357.1194029850746</v>
      </c>
      <c r="N25" s="32">
        <v>357.1194029850746</v>
      </c>
      <c r="O25" s="32">
        <v>357.1194029850746</v>
      </c>
      <c r="P25" s="60" t="s">
        <v>151</v>
      </c>
      <c r="Q25" s="7" t="s">
        <v>169</v>
      </c>
    </row>
    <row r="26" spans="1:7" ht="12.75">
      <c r="A26" s="24"/>
      <c r="B26" s="15"/>
      <c r="C26" s="15"/>
      <c r="D26" s="15"/>
      <c r="E26" s="15"/>
      <c r="F26" s="15"/>
      <c r="G26" s="2"/>
    </row>
    <row r="27" spans="1:7" ht="12.75">
      <c r="A27" s="24"/>
      <c r="B27" s="15"/>
      <c r="C27" s="46"/>
      <c r="D27" s="15"/>
      <c r="E27" s="15"/>
      <c r="F27" s="15"/>
      <c r="G27" s="2"/>
    </row>
    <row r="28" spans="1:16" s="1" customFormat="1" ht="12.75">
      <c r="A28" s="16" t="s">
        <v>92</v>
      </c>
      <c r="B28" s="33">
        <f>+B30+B54+B60+B67+B69</f>
        <v>974541</v>
      </c>
      <c r="C28" s="33">
        <f>+C30+C54+C60+C67+C69</f>
        <v>834835</v>
      </c>
      <c r="D28" s="33">
        <f>+D30+D54+D60+D67+D69</f>
        <v>150086</v>
      </c>
      <c r="E28" s="33">
        <v>136624</v>
      </c>
      <c r="F28" s="33">
        <f>+F30+F54+F60+F67+F69</f>
        <v>704914.4889145473</v>
      </c>
      <c r="G28" s="33">
        <f>+G30+G54+G60+G67+G69</f>
        <v>715927.4088594376</v>
      </c>
      <c r="H28" s="33">
        <f aca="true" t="shared" si="5" ref="H28:O28">+H30+H54+H60+H67+H69</f>
        <v>726587.6038766744</v>
      </c>
      <c r="I28" s="33">
        <f t="shared" si="5"/>
        <v>736014.8977997284</v>
      </c>
      <c r="J28" s="33">
        <f t="shared" si="5"/>
        <v>745699.5935517583</v>
      </c>
      <c r="K28" s="33">
        <f t="shared" si="5"/>
        <v>755651.3069945384</v>
      </c>
      <c r="L28" s="33">
        <f t="shared" si="5"/>
        <v>765880.0870813321</v>
      </c>
      <c r="M28" s="33">
        <f t="shared" si="5"/>
        <v>776396.4373588348</v>
      </c>
      <c r="N28" s="33">
        <f t="shared" si="5"/>
        <v>787211.338590753</v>
      </c>
      <c r="O28" s="33">
        <f t="shared" si="5"/>
        <v>798336.2725630193</v>
      </c>
      <c r="P28" s="54"/>
    </row>
    <row r="29" spans="1:15" ht="12.75">
      <c r="A29" s="16"/>
      <c r="B29" s="17"/>
      <c r="C29" s="18"/>
      <c r="D29" s="18"/>
      <c r="E29" s="18"/>
      <c r="F29" s="18"/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6" t="s">
        <v>110</v>
      </c>
      <c r="B30" s="19">
        <f>+B31+B38+B39+B43+B50</f>
        <v>508539</v>
      </c>
      <c r="C30" s="19">
        <f>+C31+C38+C39+C43+C50</f>
        <v>489809</v>
      </c>
      <c r="D30" s="19">
        <f>+D31+D38+D39+D43</f>
        <v>104174</v>
      </c>
      <c r="E30" s="19"/>
      <c r="F30" s="19">
        <f>+F31+F38+F39+F43+F50</f>
        <v>489822.7389145473</v>
      </c>
      <c r="G30" s="19">
        <f aca="true" t="shared" si="6" ref="G30:O30">+G31+G38+G39+G43+G50</f>
        <v>497833.6185594375</v>
      </c>
      <c r="H30" s="19">
        <f t="shared" si="6"/>
        <v>504836.8602116745</v>
      </c>
      <c r="I30" s="19">
        <f t="shared" si="6"/>
        <v>510518.6093756585</v>
      </c>
      <c r="J30" s="19">
        <f t="shared" si="6"/>
        <v>516366.93357686384</v>
      </c>
      <c r="K30" s="19">
        <f t="shared" si="6"/>
        <v>522389.1546643327</v>
      </c>
      <c r="L30" s="19">
        <f t="shared" si="6"/>
        <v>528592.9673740343</v>
      </c>
      <c r="M30" s="19">
        <f t="shared" si="6"/>
        <v>534986.4591969887</v>
      </c>
      <c r="N30" s="19">
        <f t="shared" si="6"/>
        <v>541578.1313234555</v>
      </c>
      <c r="O30" s="19">
        <f t="shared" si="6"/>
        <v>548376.9207218948</v>
      </c>
    </row>
    <row r="31" spans="1:15" ht="12.75">
      <c r="A31" s="16" t="s">
        <v>39</v>
      </c>
      <c r="B31" s="19">
        <f>+B32+B33+B34+B35+B36+B37</f>
        <v>334818</v>
      </c>
      <c r="C31" s="19">
        <v>299851</v>
      </c>
      <c r="D31" s="19">
        <v>73072</v>
      </c>
      <c r="E31" s="19">
        <f>+E32+E33+E34+E35+E36+E37</f>
        <v>70479</v>
      </c>
      <c r="F31" s="6">
        <f>+F32+F33+F34+F35+F36+F37</f>
        <v>302023.91</v>
      </c>
      <c r="G31" s="6">
        <f aca="true" t="shared" si="7" ref="G31:O31">+G32+G33+G34+G35+G36+G37</f>
        <v>304788.1891</v>
      </c>
      <c r="H31" s="6">
        <f t="shared" si="7"/>
        <v>307580.110991</v>
      </c>
      <c r="I31" s="6">
        <f t="shared" si="7"/>
        <v>310399.9521009101</v>
      </c>
      <c r="J31" s="6">
        <f t="shared" si="7"/>
        <v>313247.99162191915</v>
      </c>
      <c r="K31" s="6">
        <f t="shared" si="7"/>
        <v>316124.5115381383</v>
      </c>
      <c r="L31" s="6">
        <f t="shared" si="7"/>
        <v>319029.79665351973</v>
      </c>
      <c r="M31" s="6">
        <f t="shared" si="7"/>
        <v>321964.1346200549</v>
      </c>
      <c r="N31" s="6">
        <f t="shared" si="7"/>
        <v>324927.8159662555</v>
      </c>
      <c r="O31" s="6">
        <f t="shared" si="7"/>
        <v>327921.13412591803</v>
      </c>
    </row>
    <row r="32" spans="1:17" ht="12.75">
      <c r="A32" s="20" t="s">
        <v>44</v>
      </c>
      <c r="B32" s="18">
        <v>155946</v>
      </c>
      <c r="C32" s="18">
        <v>146805</v>
      </c>
      <c r="D32" s="18">
        <v>34683</v>
      </c>
      <c r="E32" s="18">
        <v>31480</v>
      </c>
      <c r="F32" s="3">
        <f>+F20*F9</f>
        <v>148273.05000000002</v>
      </c>
      <c r="G32" s="3">
        <f aca="true" t="shared" si="8" ref="G32:O32">+G20*G9</f>
        <v>149755.78050000002</v>
      </c>
      <c r="H32" s="3">
        <f t="shared" si="8"/>
        <v>151253.338305</v>
      </c>
      <c r="I32" s="3">
        <f t="shared" si="8"/>
        <v>152765.87168805</v>
      </c>
      <c r="J32" s="3">
        <f t="shared" si="8"/>
        <v>154293.53040493053</v>
      </c>
      <c r="K32" s="3">
        <f t="shared" si="8"/>
        <v>155836.4657089798</v>
      </c>
      <c r="L32" s="3">
        <f t="shared" si="8"/>
        <v>157394.83036606963</v>
      </c>
      <c r="M32" s="3">
        <f t="shared" si="8"/>
        <v>158968.77866973032</v>
      </c>
      <c r="N32" s="3">
        <f t="shared" si="8"/>
        <v>160558.46645642765</v>
      </c>
      <c r="O32" s="3">
        <f t="shared" si="8"/>
        <v>162164.0511209919</v>
      </c>
      <c r="P32" s="55" t="s">
        <v>160</v>
      </c>
      <c r="Q32" s="7" t="s">
        <v>166</v>
      </c>
    </row>
    <row r="33" spans="1:17" ht="12.75">
      <c r="A33" s="20" t="s">
        <v>45</v>
      </c>
      <c r="B33" s="18">
        <v>147242</v>
      </c>
      <c r="C33" s="18">
        <v>118194</v>
      </c>
      <c r="D33" s="18">
        <v>26764</v>
      </c>
      <c r="E33" s="18">
        <v>23692</v>
      </c>
      <c r="F33" s="3">
        <f>+F21*F9</f>
        <v>119375.94</v>
      </c>
      <c r="G33" s="3">
        <f aca="true" t="shared" si="9" ref="G33:O33">+G21*G9</f>
        <v>120569.69940000001</v>
      </c>
      <c r="H33" s="3">
        <f t="shared" si="9"/>
        <v>121775.39639400001</v>
      </c>
      <c r="I33" s="3">
        <f t="shared" si="9"/>
        <v>122993.15035794002</v>
      </c>
      <c r="J33" s="3">
        <f t="shared" si="9"/>
        <v>124223.08186151941</v>
      </c>
      <c r="K33" s="3">
        <f t="shared" si="9"/>
        <v>125465.31268013461</v>
      </c>
      <c r="L33" s="3">
        <f t="shared" si="9"/>
        <v>126719.96580693596</v>
      </c>
      <c r="M33" s="3">
        <f t="shared" si="9"/>
        <v>127987.16546500532</v>
      </c>
      <c r="N33" s="3">
        <f t="shared" si="9"/>
        <v>129267.03711965539</v>
      </c>
      <c r="O33" s="3">
        <f t="shared" si="9"/>
        <v>130559.70749085194</v>
      </c>
      <c r="P33" s="55" t="s">
        <v>160</v>
      </c>
      <c r="Q33" s="7" t="s">
        <v>166</v>
      </c>
    </row>
    <row r="34" spans="1:17" ht="12.75">
      <c r="A34" s="20" t="s">
        <v>46</v>
      </c>
      <c r="B34" s="18">
        <v>5763</v>
      </c>
      <c r="C34" s="18">
        <v>3896</v>
      </c>
      <c r="D34" s="18">
        <v>1082</v>
      </c>
      <c r="E34" s="18">
        <v>649</v>
      </c>
      <c r="F34" s="3">
        <f>4*E34</f>
        <v>2596</v>
      </c>
      <c r="G34" s="6">
        <f>+F34</f>
        <v>2596</v>
      </c>
      <c r="H34" s="6">
        <f aca="true" t="shared" si="10" ref="H34:O34">+G34</f>
        <v>2596</v>
      </c>
      <c r="I34" s="6">
        <f t="shared" si="10"/>
        <v>2596</v>
      </c>
      <c r="J34" s="6">
        <f t="shared" si="10"/>
        <v>2596</v>
      </c>
      <c r="K34" s="6">
        <f t="shared" si="10"/>
        <v>2596</v>
      </c>
      <c r="L34" s="6">
        <f t="shared" si="10"/>
        <v>2596</v>
      </c>
      <c r="M34" s="6">
        <f t="shared" si="10"/>
        <v>2596</v>
      </c>
      <c r="N34" s="6">
        <f t="shared" si="10"/>
        <v>2596</v>
      </c>
      <c r="O34" s="6">
        <f t="shared" si="10"/>
        <v>2596</v>
      </c>
      <c r="P34" s="55" t="s">
        <v>157</v>
      </c>
      <c r="Q34" s="7" t="s">
        <v>167</v>
      </c>
    </row>
    <row r="35" spans="1:17" ht="12.75">
      <c r="A35" s="20" t="s">
        <v>47</v>
      </c>
      <c r="B35" s="18">
        <v>0</v>
      </c>
      <c r="C35" s="18">
        <v>8692</v>
      </c>
      <c r="D35" s="18">
        <v>6277</v>
      </c>
      <c r="E35" s="18">
        <v>8271</v>
      </c>
      <c r="F35" s="3">
        <f>+C35*1.01</f>
        <v>8778.92</v>
      </c>
      <c r="G35" s="3">
        <f>+F35*1.01</f>
        <v>8866.7092</v>
      </c>
      <c r="H35" s="3">
        <f aca="true" t="shared" si="11" ref="H35:O35">+G35*1.01</f>
        <v>8955.376291999999</v>
      </c>
      <c r="I35" s="3">
        <f t="shared" si="11"/>
        <v>9044.93005492</v>
      </c>
      <c r="J35" s="3">
        <f t="shared" si="11"/>
        <v>9135.3793554692</v>
      </c>
      <c r="K35" s="3">
        <f t="shared" si="11"/>
        <v>9226.733149023892</v>
      </c>
      <c r="L35" s="3">
        <f t="shared" si="11"/>
        <v>9319.00048051413</v>
      </c>
      <c r="M35" s="3">
        <f t="shared" si="11"/>
        <v>9412.190485319272</v>
      </c>
      <c r="N35" s="3">
        <f t="shared" si="11"/>
        <v>9506.312390172465</v>
      </c>
      <c r="O35" s="3">
        <f t="shared" si="11"/>
        <v>9601.375514074189</v>
      </c>
      <c r="P35" s="57" t="s">
        <v>155</v>
      </c>
      <c r="Q35" s="6" t="s">
        <v>168</v>
      </c>
    </row>
    <row r="36" spans="1:17" ht="12.75">
      <c r="A36" s="20" t="s">
        <v>48</v>
      </c>
      <c r="B36" s="18">
        <v>18583</v>
      </c>
      <c r="C36" s="18">
        <v>17087</v>
      </c>
      <c r="D36" s="18">
        <v>4099</v>
      </c>
      <c r="E36" s="18">
        <v>5049</v>
      </c>
      <c r="F36" s="3">
        <v>18000</v>
      </c>
      <c r="G36" s="3">
        <v>18000</v>
      </c>
      <c r="H36" s="3">
        <v>18000</v>
      </c>
      <c r="I36" s="3">
        <v>18000</v>
      </c>
      <c r="J36" s="3">
        <v>18000</v>
      </c>
      <c r="K36" s="3">
        <v>18000</v>
      </c>
      <c r="L36" s="3">
        <v>18000</v>
      </c>
      <c r="M36" s="3">
        <v>18000</v>
      </c>
      <c r="N36" s="3">
        <v>18000</v>
      </c>
      <c r="O36" s="3">
        <v>18000</v>
      </c>
      <c r="P36" s="55" t="s">
        <v>157</v>
      </c>
      <c r="Q36" s="7" t="s">
        <v>167</v>
      </c>
    </row>
    <row r="37" spans="1:17" ht="12.75">
      <c r="A37" s="20" t="s">
        <v>49</v>
      </c>
      <c r="B37" s="18">
        <v>7284</v>
      </c>
      <c r="C37" s="18">
        <v>5177</v>
      </c>
      <c r="D37" s="18">
        <v>167</v>
      </c>
      <c r="E37" s="18">
        <v>1338</v>
      </c>
      <c r="F37" s="3">
        <v>5000</v>
      </c>
      <c r="G37" s="3">
        <v>5000</v>
      </c>
      <c r="H37" s="3">
        <v>5000</v>
      </c>
      <c r="I37" s="3">
        <v>5000</v>
      </c>
      <c r="J37" s="3">
        <v>5000</v>
      </c>
      <c r="K37" s="3">
        <v>5000</v>
      </c>
      <c r="L37" s="3">
        <v>5000</v>
      </c>
      <c r="M37" s="3">
        <v>5000</v>
      </c>
      <c r="N37" s="3">
        <v>5000</v>
      </c>
      <c r="O37" s="3">
        <v>5000</v>
      </c>
      <c r="P37" s="55" t="s">
        <v>157</v>
      </c>
      <c r="Q37" s="7" t="s">
        <v>167</v>
      </c>
    </row>
    <row r="38" spans="1:15" ht="12.75">
      <c r="A38" s="16" t="s">
        <v>40</v>
      </c>
      <c r="B38" s="19">
        <v>13490</v>
      </c>
      <c r="C38" s="19">
        <v>25162</v>
      </c>
      <c r="D38" s="19">
        <v>7488</v>
      </c>
      <c r="E38" s="19">
        <v>7825</v>
      </c>
      <c r="F38" s="6">
        <f>+F15*F23</f>
        <v>30194.399999999998</v>
      </c>
      <c r="G38" s="6">
        <f aca="true" t="shared" si="12" ref="G38:O38">+G15*G23</f>
        <v>34723.56</v>
      </c>
      <c r="H38" s="6">
        <f t="shared" si="12"/>
        <v>38195.916000000005</v>
      </c>
      <c r="I38" s="6">
        <f t="shared" si="12"/>
        <v>40296.69138</v>
      </c>
      <c r="J38" s="6">
        <f t="shared" si="12"/>
        <v>42513.0094059</v>
      </c>
      <c r="K38" s="6">
        <f t="shared" si="12"/>
        <v>44851.224923224494</v>
      </c>
      <c r="L38" s="6">
        <f t="shared" si="12"/>
        <v>47318.04229400184</v>
      </c>
      <c r="M38" s="6">
        <f t="shared" si="12"/>
        <v>49920.53462017193</v>
      </c>
      <c r="N38" s="6">
        <f t="shared" si="12"/>
        <v>52666.16402428139</v>
      </c>
      <c r="O38" s="6">
        <f t="shared" si="12"/>
        <v>55562.80304561686</v>
      </c>
    </row>
    <row r="39" spans="1:15" ht="12.75">
      <c r="A39" s="16" t="s">
        <v>50</v>
      </c>
      <c r="B39" s="19">
        <v>26271</v>
      </c>
      <c r="C39" s="19">
        <v>31587</v>
      </c>
      <c r="D39" s="19">
        <v>8562</v>
      </c>
      <c r="E39" s="19">
        <v>9766</v>
      </c>
      <c r="F39" s="6">
        <f>+F40+F41+F42</f>
        <v>32604.428914547294</v>
      </c>
      <c r="G39" s="6">
        <f aca="true" t="shared" si="13" ref="G39:O39">+G40+G41+G42</f>
        <v>33321.86945943751</v>
      </c>
      <c r="H39" s="6">
        <f t="shared" si="13"/>
        <v>34060.83322067444</v>
      </c>
      <c r="I39" s="6">
        <f t="shared" si="13"/>
        <v>34821.96589474847</v>
      </c>
      <c r="J39" s="6">
        <f t="shared" si="13"/>
        <v>35605.93254904472</v>
      </c>
      <c r="K39" s="6">
        <f t="shared" si="13"/>
        <v>36413.418202969864</v>
      </c>
      <c r="L39" s="6">
        <f t="shared" si="13"/>
        <v>37245.12842651276</v>
      </c>
      <c r="M39" s="6">
        <f t="shared" si="13"/>
        <v>38101.789956761946</v>
      </c>
      <c r="N39" s="6">
        <f t="shared" si="13"/>
        <v>38984.1513329186</v>
      </c>
      <c r="O39" s="6">
        <f t="shared" si="13"/>
        <v>39892.98355035996</v>
      </c>
    </row>
    <row r="40" spans="1:17" ht="38.25">
      <c r="A40" s="20" t="s">
        <v>51</v>
      </c>
      <c r="B40" s="18">
        <v>8986</v>
      </c>
      <c r="C40" s="18">
        <v>10121</v>
      </c>
      <c r="D40" s="18">
        <v>2521</v>
      </c>
      <c r="E40" s="18">
        <v>2631</v>
      </c>
      <c r="F40" s="3">
        <f>+C40/C55*F55</f>
        <v>10424.630000000001</v>
      </c>
      <c r="G40" s="3">
        <f>+F40/F55*G55</f>
        <v>10737.368900000001</v>
      </c>
      <c r="H40" s="3">
        <f aca="true" t="shared" si="14" ref="H40:O40">+G40/G55*H55</f>
        <v>11059.489967000001</v>
      </c>
      <c r="I40" s="3">
        <f t="shared" si="14"/>
        <v>11391.274666010004</v>
      </c>
      <c r="J40" s="3">
        <f t="shared" si="14"/>
        <v>11733.012905990305</v>
      </c>
      <c r="K40" s="3">
        <f t="shared" si="14"/>
        <v>12085.003293170013</v>
      </c>
      <c r="L40" s="3">
        <f t="shared" si="14"/>
        <v>12447.553391965115</v>
      </c>
      <c r="M40" s="3">
        <f t="shared" si="14"/>
        <v>12820.97999372407</v>
      </c>
      <c r="N40" s="3">
        <f t="shared" si="14"/>
        <v>13205.609393535793</v>
      </c>
      <c r="O40" s="3">
        <f t="shared" si="14"/>
        <v>13601.777675341866</v>
      </c>
      <c r="P40" s="60" t="s">
        <v>158</v>
      </c>
      <c r="Q40" s="6" t="s">
        <v>168</v>
      </c>
    </row>
    <row r="41" spans="1:17" ht="38.25">
      <c r="A41" s="20" t="s">
        <v>52</v>
      </c>
      <c r="B41" s="18">
        <v>2752</v>
      </c>
      <c r="C41" s="18">
        <v>2807</v>
      </c>
      <c r="D41" s="18">
        <v>714</v>
      </c>
      <c r="E41" s="18">
        <v>628</v>
      </c>
      <c r="F41" s="3">
        <f>+C41/C56*F56</f>
        <v>2891.21</v>
      </c>
      <c r="G41" s="3">
        <f>+F41/F56*G56</f>
        <v>2977.9463</v>
      </c>
      <c r="H41" s="3">
        <f aca="true" t="shared" si="15" ref="H41:O41">+G41/G56*H56</f>
        <v>3067.2846889999996</v>
      </c>
      <c r="I41" s="3">
        <f t="shared" si="15"/>
        <v>3159.3032296700003</v>
      </c>
      <c r="J41" s="3">
        <f t="shared" si="15"/>
        <v>3254.0823265601002</v>
      </c>
      <c r="K41" s="3">
        <f t="shared" si="15"/>
        <v>3351.7047963569025</v>
      </c>
      <c r="L41" s="3">
        <f t="shared" si="15"/>
        <v>3452.2559402476104</v>
      </c>
      <c r="M41" s="3">
        <f t="shared" si="15"/>
        <v>3555.8236184550383</v>
      </c>
      <c r="N41" s="3">
        <f t="shared" si="15"/>
        <v>3662.4983270086905</v>
      </c>
      <c r="O41" s="3">
        <f t="shared" si="15"/>
        <v>3772.373276818951</v>
      </c>
      <c r="P41" s="60" t="s">
        <v>159</v>
      </c>
      <c r="Q41" s="6" t="s">
        <v>168</v>
      </c>
    </row>
    <row r="42" spans="1:17" ht="25.5">
      <c r="A42" s="20" t="s">
        <v>53</v>
      </c>
      <c r="B42" s="18">
        <v>14533</v>
      </c>
      <c r="C42" s="18">
        <v>18659</v>
      </c>
      <c r="D42" s="18">
        <v>5327</v>
      </c>
      <c r="E42" s="18">
        <v>6507</v>
      </c>
      <c r="F42" s="3">
        <f>+C42/C54*F54</f>
        <v>19288.588914547294</v>
      </c>
      <c r="G42" s="3">
        <f>+F42/F54*G54</f>
        <v>19606.55425943751</v>
      </c>
      <c r="H42" s="3">
        <f aca="true" t="shared" si="16" ref="H42:O42">+G42/G54*H54</f>
        <v>19934.058564674437</v>
      </c>
      <c r="I42" s="3">
        <f t="shared" si="16"/>
        <v>20271.38799906847</v>
      </c>
      <c r="J42" s="3">
        <f t="shared" si="16"/>
        <v>20618.837316494322</v>
      </c>
      <c r="K42" s="3">
        <f t="shared" si="16"/>
        <v>20976.71011344295</v>
      </c>
      <c r="L42" s="3">
        <f t="shared" si="16"/>
        <v>21345.319094300037</v>
      </c>
      <c r="M42" s="3">
        <f t="shared" si="16"/>
        <v>21724.986344582834</v>
      </c>
      <c r="N42" s="3">
        <f t="shared" si="16"/>
        <v>22116.04361237412</v>
      </c>
      <c r="O42" s="3">
        <f t="shared" si="16"/>
        <v>22518.83259819914</v>
      </c>
      <c r="P42" s="60" t="s">
        <v>161</v>
      </c>
      <c r="Q42" s="6" t="s">
        <v>168</v>
      </c>
    </row>
    <row r="43" spans="1:17" ht="12.75">
      <c r="A43" s="16" t="s">
        <v>54</v>
      </c>
      <c r="B43" s="19">
        <v>65170</v>
      </c>
      <c r="C43" s="19">
        <v>65623</v>
      </c>
      <c r="D43" s="19">
        <v>15052</v>
      </c>
      <c r="E43" s="19">
        <v>14775</v>
      </c>
      <c r="F43" s="6">
        <v>65000</v>
      </c>
      <c r="G43" s="6">
        <v>65000</v>
      </c>
      <c r="H43" s="6">
        <v>65000</v>
      </c>
      <c r="I43" s="6">
        <v>65000</v>
      </c>
      <c r="J43" s="6">
        <v>65000</v>
      </c>
      <c r="K43" s="6">
        <v>65000</v>
      </c>
      <c r="L43" s="6">
        <v>65000</v>
      </c>
      <c r="M43" s="6">
        <v>65000</v>
      </c>
      <c r="N43" s="6">
        <v>65000</v>
      </c>
      <c r="O43" s="6">
        <v>65000</v>
      </c>
      <c r="P43" s="60" t="s">
        <v>170</v>
      </c>
      <c r="Q43" s="7" t="s">
        <v>167</v>
      </c>
    </row>
    <row r="44" spans="1:15" ht="12.75">
      <c r="A44" s="20" t="s">
        <v>55</v>
      </c>
      <c r="B44" s="18">
        <v>5515</v>
      </c>
      <c r="C44" s="18">
        <v>5882</v>
      </c>
      <c r="D44" s="18">
        <v>1136</v>
      </c>
      <c r="E44" s="18">
        <v>1002</v>
      </c>
      <c r="F44" s="6"/>
      <c r="G44" s="5"/>
      <c r="H44" s="5"/>
      <c r="I44" s="5"/>
      <c r="J44" s="5"/>
      <c r="K44" s="5"/>
      <c r="L44" s="5"/>
      <c r="M44" s="5"/>
      <c r="N44" s="5"/>
      <c r="O44" s="4"/>
    </row>
    <row r="45" spans="1:15" ht="12.75">
      <c r="A45" s="20" t="s">
        <v>56</v>
      </c>
      <c r="B45" s="18">
        <v>2682</v>
      </c>
      <c r="C45" s="18">
        <v>3118</v>
      </c>
      <c r="D45" s="18">
        <v>928</v>
      </c>
      <c r="E45" s="18">
        <v>639</v>
      </c>
      <c r="F45" s="6"/>
      <c r="G45" s="5"/>
      <c r="H45" s="5"/>
      <c r="I45" s="5"/>
      <c r="J45" s="5"/>
      <c r="K45" s="5"/>
      <c r="L45" s="5"/>
      <c r="M45" s="5"/>
      <c r="N45" s="5"/>
      <c r="O45" s="4"/>
    </row>
    <row r="46" spans="1:15" ht="12.75">
      <c r="A46" s="20" t="s">
        <v>57</v>
      </c>
      <c r="B46" s="18">
        <v>4879</v>
      </c>
      <c r="C46" s="18">
        <v>6681</v>
      </c>
      <c r="D46" s="18">
        <v>1800</v>
      </c>
      <c r="E46" s="18">
        <v>1837</v>
      </c>
      <c r="F46" s="6"/>
      <c r="G46" s="5"/>
      <c r="H46" s="5"/>
      <c r="I46" s="5"/>
      <c r="J46" s="5"/>
      <c r="K46" s="5"/>
      <c r="L46" s="5"/>
      <c r="M46" s="5"/>
      <c r="N46" s="5"/>
      <c r="O46" s="4"/>
    </row>
    <row r="47" spans="1:15" ht="12.75">
      <c r="A47" s="20" t="s">
        <v>58</v>
      </c>
      <c r="B47" s="18">
        <v>11358</v>
      </c>
      <c r="C47" s="18">
        <v>10838</v>
      </c>
      <c r="D47" s="18">
        <v>2635</v>
      </c>
      <c r="E47" s="18">
        <v>2569</v>
      </c>
      <c r="F47" s="6"/>
      <c r="G47" s="5"/>
      <c r="H47" s="5"/>
      <c r="I47" s="5"/>
      <c r="J47" s="5"/>
      <c r="K47" s="5"/>
      <c r="L47" s="5"/>
      <c r="M47" s="5"/>
      <c r="N47" s="5"/>
      <c r="O47" s="4"/>
    </row>
    <row r="48" spans="1:15" ht="12.75">
      <c r="A48" s="20" t="s">
        <v>59</v>
      </c>
      <c r="B48" s="18">
        <v>31710</v>
      </c>
      <c r="C48" s="18">
        <v>31275</v>
      </c>
      <c r="D48" s="18">
        <v>7454</v>
      </c>
      <c r="E48" s="18">
        <v>7475</v>
      </c>
      <c r="F48" s="6"/>
      <c r="G48" s="5"/>
      <c r="H48" s="5"/>
      <c r="I48" s="5"/>
      <c r="J48" s="5"/>
      <c r="K48" s="5"/>
      <c r="L48" s="5"/>
      <c r="M48" s="5"/>
      <c r="N48" s="5"/>
      <c r="O48" s="4"/>
    </row>
    <row r="49" spans="1:15" ht="12.75">
      <c r="A49" s="20" t="s">
        <v>60</v>
      </c>
      <c r="B49" s="18">
        <v>9026</v>
      </c>
      <c r="C49" s="18">
        <v>7829</v>
      </c>
      <c r="D49" s="18">
        <v>1099</v>
      </c>
      <c r="E49" s="18">
        <v>1253</v>
      </c>
      <c r="F49" s="6"/>
      <c r="G49" s="5"/>
      <c r="H49" s="5"/>
      <c r="I49" s="5"/>
      <c r="J49" s="5"/>
      <c r="K49" s="5"/>
      <c r="L49" s="5"/>
      <c r="M49" s="5"/>
      <c r="N49" s="5"/>
      <c r="O49" s="4"/>
    </row>
    <row r="50" spans="1:17" s="1" customFormat="1" ht="12.75">
      <c r="A50" s="16" t="s">
        <v>104</v>
      </c>
      <c r="B50" s="19">
        <v>68790</v>
      </c>
      <c r="C50" s="19">
        <v>67586</v>
      </c>
      <c r="D50" s="19"/>
      <c r="E50" s="19"/>
      <c r="F50" s="6">
        <v>60000</v>
      </c>
      <c r="G50" s="6">
        <v>60000</v>
      </c>
      <c r="H50" s="6">
        <v>60000</v>
      </c>
      <c r="I50" s="6">
        <v>60000</v>
      </c>
      <c r="J50" s="6">
        <v>60000</v>
      </c>
      <c r="K50" s="6">
        <v>60000</v>
      </c>
      <c r="L50" s="6">
        <v>60000</v>
      </c>
      <c r="M50" s="6">
        <v>60000</v>
      </c>
      <c r="N50" s="6">
        <v>60000</v>
      </c>
      <c r="O50" s="6">
        <v>60000</v>
      </c>
      <c r="P50" s="55" t="s">
        <v>157</v>
      </c>
      <c r="Q50" s="7" t="s">
        <v>167</v>
      </c>
    </row>
    <row r="51" spans="1:15" ht="12.75">
      <c r="A51" s="20"/>
      <c r="B51" s="18"/>
      <c r="C51" s="18"/>
      <c r="D51" s="18"/>
      <c r="E51" s="18"/>
      <c r="F51" s="5"/>
      <c r="G51" s="5"/>
      <c r="H51" s="5"/>
      <c r="I51" s="5"/>
      <c r="J51" s="5"/>
      <c r="K51" s="5"/>
      <c r="L51" s="5"/>
      <c r="M51" s="5"/>
      <c r="N51" s="5"/>
      <c r="O51" s="4"/>
    </row>
    <row r="52" spans="1:15" ht="12.75">
      <c r="A52" s="20"/>
      <c r="B52" s="18"/>
      <c r="C52" s="18"/>
      <c r="D52" s="18"/>
      <c r="E52" s="18"/>
      <c r="F52" s="5"/>
      <c r="G52" s="5"/>
      <c r="H52" s="5"/>
      <c r="I52" s="5"/>
      <c r="J52" s="5"/>
      <c r="K52" s="5"/>
      <c r="L52" s="5"/>
      <c r="M52" s="5"/>
      <c r="N52" s="5"/>
      <c r="O52" s="4"/>
    </row>
    <row r="53" spans="1:15" ht="12.75">
      <c r="A53" s="16"/>
      <c r="B53" s="19"/>
      <c r="C53" s="47" t="s">
        <v>6</v>
      </c>
      <c r="D53" s="19"/>
      <c r="E53" s="19"/>
      <c r="F53" s="5"/>
      <c r="G53" s="5"/>
      <c r="H53" s="5"/>
      <c r="I53" s="5"/>
      <c r="J53" s="5"/>
      <c r="K53" s="5"/>
      <c r="L53" s="5"/>
      <c r="M53" s="5"/>
      <c r="N53" s="5"/>
      <c r="O53" s="4"/>
    </row>
    <row r="54" spans="1:15" ht="12.75">
      <c r="A54" s="16" t="s">
        <v>111</v>
      </c>
      <c r="B54" s="19">
        <f>+B55+B56+B57+B58</f>
        <v>94032</v>
      </c>
      <c r="C54" s="19">
        <f>+C55+C56+C57+C58</f>
        <v>88037</v>
      </c>
      <c r="D54" s="19">
        <f>+D55+D56+D57+D58</f>
        <v>22014</v>
      </c>
      <c r="E54" s="19"/>
      <c r="F54" s="19">
        <f>+F55+F56+F57+F58</f>
        <v>91007.53</v>
      </c>
      <c r="G54" s="19">
        <f aca="true" t="shared" si="17" ref="G54:O54">+G55+G56+G57+G58</f>
        <v>92507.7559</v>
      </c>
      <c r="H54" s="19">
        <f t="shared" si="17"/>
        <v>94052.98857700001</v>
      </c>
      <c r="I54" s="19">
        <f t="shared" si="17"/>
        <v>95644.57823431001</v>
      </c>
      <c r="J54" s="19">
        <f t="shared" si="17"/>
        <v>97283.91558133932</v>
      </c>
      <c r="K54" s="19">
        <f t="shared" si="17"/>
        <v>98972.4330487795</v>
      </c>
      <c r="L54" s="19">
        <f t="shared" si="17"/>
        <v>100711.60604024288</v>
      </c>
      <c r="M54" s="19">
        <f t="shared" si="17"/>
        <v>102502.95422145017</v>
      </c>
      <c r="N54" s="19">
        <f t="shared" si="17"/>
        <v>104348.04284809368</v>
      </c>
      <c r="O54" s="19">
        <f t="shared" si="17"/>
        <v>106248.48413353649</v>
      </c>
    </row>
    <row r="55" spans="1:17" ht="12.75">
      <c r="A55" s="21" t="s">
        <v>51</v>
      </c>
      <c r="B55" s="18">
        <v>26864</v>
      </c>
      <c r="C55" s="18">
        <v>24624</v>
      </c>
      <c r="D55" s="18">
        <v>5602</v>
      </c>
      <c r="E55" s="18">
        <v>5857</v>
      </c>
      <c r="F55" s="3">
        <f>+F24*F13</f>
        <v>25362.720000000005</v>
      </c>
      <c r="G55" s="3">
        <f aca="true" t="shared" si="18" ref="G55:O55">+G24*G13</f>
        <v>26123.601600000005</v>
      </c>
      <c r="H55" s="3">
        <f t="shared" si="18"/>
        <v>26907.309648000006</v>
      </c>
      <c r="I55" s="3">
        <f t="shared" si="18"/>
        <v>27714.52893744001</v>
      </c>
      <c r="J55" s="3">
        <f t="shared" si="18"/>
        <v>28545.964805563213</v>
      </c>
      <c r="K55" s="3">
        <f t="shared" si="18"/>
        <v>29402.343749730106</v>
      </c>
      <c r="L55" s="3">
        <f t="shared" si="18"/>
        <v>30284.41406222201</v>
      </c>
      <c r="M55" s="3">
        <f t="shared" si="18"/>
        <v>31192.946484088672</v>
      </c>
      <c r="N55" s="3">
        <f t="shared" si="18"/>
        <v>32128.734878611336</v>
      </c>
      <c r="O55" s="3">
        <f t="shared" si="18"/>
        <v>33092.59692496967</v>
      </c>
      <c r="P55" s="55" t="s">
        <v>160</v>
      </c>
      <c r="Q55" s="7" t="s">
        <v>166</v>
      </c>
    </row>
    <row r="56" spans="1:17" ht="12.75">
      <c r="A56" s="20" t="s">
        <v>61</v>
      </c>
      <c r="B56" s="18">
        <v>25190</v>
      </c>
      <c r="C56" s="18">
        <v>23927</v>
      </c>
      <c r="D56" s="18">
        <v>5813</v>
      </c>
      <c r="E56" s="18">
        <v>5392</v>
      </c>
      <c r="F56" s="3">
        <f>+F25*F14</f>
        <v>24644.81</v>
      </c>
      <c r="G56" s="3">
        <f aca="true" t="shared" si="19" ref="G56:O56">+G25*G14</f>
        <v>25384.154300000002</v>
      </c>
      <c r="H56" s="3">
        <f t="shared" si="19"/>
        <v>26145.678928999998</v>
      </c>
      <c r="I56" s="3">
        <f t="shared" si="19"/>
        <v>26930.049296870002</v>
      </c>
      <c r="J56" s="3">
        <f t="shared" si="19"/>
        <v>27737.950775776102</v>
      </c>
      <c r="K56" s="3">
        <f t="shared" si="19"/>
        <v>28570.08929904938</v>
      </c>
      <c r="L56" s="3">
        <f t="shared" si="19"/>
        <v>29427.191978020866</v>
      </c>
      <c r="M56" s="3">
        <f t="shared" si="19"/>
        <v>30310.00773736149</v>
      </c>
      <c r="N56" s="3">
        <f t="shared" si="19"/>
        <v>31219.307969482343</v>
      </c>
      <c r="O56" s="3">
        <f t="shared" si="19"/>
        <v>32155.88720856681</v>
      </c>
      <c r="P56" s="55" t="s">
        <v>160</v>
      </c>
      <c r="Q56" s="7" t="s">
        <v>166</v>
      </c>
    </row>
    <row r="57" spans="1:17" ht="12.75">
      <c r="A57" s="20" t="s">
        <v>62</v>
      </c>
      <c r="B57" s="18">
        <v>11142</v>
      </c>
      <c r="C57" s="18">
        <v>13038</v>
      </c>
      <c r="D57" s="18">
        <v>3987</v>
      </c>
      <c r="E57" s="18">
        <v>3648</v>
      </c>
      <c r="F57" s="11">
        <v>13000</v>
      </c>
      <c r="G57" s="11">
        <v>13000</v>
      </c>
      <c r="H57" s="11">
        <v>13000</v>
      </c>
      <c r="I57" s="11">
        <v>13000</v>
      </c>
      <c r="J57" s="11">
        <v>13000</v>
      </c>
      <c r="K57" s="11">
        <v>13000</v>
      </c>
      <c r="L57" s="11">
        <v>13000</v>
      </c>
      <c r="M57" s="11">
        <v>13000</v>
      </c>
      <c r="N57" s="11">
        <v>13000</v>
      </c>
      <c r="O57" s="11">
        <v>13000</v>
      </c>
      <c r="P57" s="55" t="s">
        <v>157</v>
      </c>
      <c r="Q57" s="7" t="s">
        <v>167</v>
      </c>
    </row>
    <row r="58" spans="1:17" ht="12.75">
      <c r="A58" s="20" t="s">
        <v>104</v>
      </c>
      <c r="B58" s="18">
        <v>30836</v>
      </c>
      <c r="C58" s="18">
        <v>26448</v>
      </c>
      <c r="D58" s="18">
        <f>+C58/4</f>
        <v>6612</v>
      </c>
      <c r="E58" s="18"/>
      <c r="F58" s="3">
        <v>28000</v>
      </c>
      <c r="G58" s="3">
        <v>28000</v>
      </c>
      <c r="H58" s="3">
        <v>28000</v>
      </c>
      <c r="I58" s="3">
        <v>28000</v>
      </c>
      <c r="J58" s="3">
        <v>28000</v>
      </c>
      <c r="K58" s="3">
        <v>28000</v>
      </c>
      <c r="L58" s="3">
        <v>28000</v>
      </c>
      <c r="M58" s="3">
        <v>28000</v>
      </c>
      <c r="N58" s="3">
        <v>28000</v>
      </c>
      <c r="O58" s="3">
        <v>28000</v>
      </c>
      <c r="P58" s="55" t="s">
        <v>157</v>
      </c>
      <c r="Q58" s="7" t="s">
        <v>167</v>
      </c>
    </row>
    <row r="59" spans="1:15" ht="12.75">
      <c r="A59" s="20"/>
      <c r="B59" s="19" t="s">
        <v>63</v>
      </c>
      <c r="C59" s="19" t="s">
        <v>63</v>
      </c>
      <c r="D59" s="19"/>
      <c r="E59" s="19"/>
      <c r="F59" s="5"/>
      <c r="G59" s="5"/>
      <c r="H59" s="5"/>
      <c r="I59" s="5"/>
      <c r="J59" s="5"/>
      <c r="K59" s="5"/>
      <c r="L59" s="5"/>
      <c r="M59" s="5"/>
      <c r="N59" s="5"/>
      <c r="O59" s="4"/>
    </row>
    <row r="60" spans="1:17" ht="12.75">
      <c r="A60" s="16" t="s">
        <v>112</v>
      </c>
      <c r="B60" s="19">
        <f>SUM(B61:B65)</f>
        <v>101047</v>
      </c>
      <c r="C60" s="19">
        <f>SUM(C61:C65)</f>
        <v>101486</v>
      </c>
      <c r="D60" s="19">
        <f>SUM(D61:D65)</f>
        <v>23089</v>
      </c>
      <c r="E60" s="19">
        <v>18211</v>
      </c>
      <c r="F60" s="6">
        <f>+C60*1.02</f>
        <v>103515.72</v>
      </c>
      <c r="G60" s="6">
        <f>+F60*1.02</f>
        <v>105586.0344</v>
      </c>
      <c r="H60" s="6">
        <f aca="true" t="shared" si="20" ref="H60:O60">+G60*1.02</f>
        <v>107697.755088</v>
      </c>
      <c r="I60" s="6">
        <f t="shared" si="20"/>
        <v>109851.71018976001</v>
      </c>
      <c r="J60" s="6">
        <f t="shared" si="20"/>
        <v>112048.74439355521</v>
      </c>
      <c r="K60" s="6">
        <f t="shared" si="20"/>
        <v>114289.71928142633</v>
      </c>
      <c r="L60" s="6">
        <f t="shared" si="20"/>
        <v>116575.51366705485</v>
      </c>
      <c r="M60" s="6">
        <f t="shared" si="20"/>
        <v>118907.02394039596</v>
      </c>
      <c r="N60" s="6">
        <f t="shared" si="20"/>
        <v>121285.16441920388</v>
      </c>
      <c r="O60" s="6">
        <f t="shared" si="20"/>
        <v>123710.86770758795</v>
      </c>
      <c r="P60" s="57" t="s">
        <v>156</v>
      </c>
      <c r="Q60" s="6" t="s">
        <v>168</v>
      </c>
    </row>
    <row r="61" spans="1:15" ht="12.75">
      <c r="A61" s="20" t="s">
        <v>64</v>
      </c>
      <c r="B61" s="18">
        <v>17988</v>
      </c>
      <c r="C61" s="18">
        <v>13575</v>
      </c>
      <c r="D61" s="18">
        <v>3180</v>
      </c>
      <c r="E61" s="18"/>
      <c r="F61" s="5"/>
      <c r="G61" s="5"/>
      <c r="H61" s="5"/>
      <c r="I61" s="5"/>
      <c r="J61" s="5"/>
      <c r="K61" s="5"/>
      <c r="L61" s="5"/>
      <c r="M61" s="5"/>
      <c r="N61" s="5"/>
      <c r="O61" s="4"/>
    </row>
    <row r="62" spans="1:15" ht="12.75">
      <c r="A62" s="20" t="s">
        <v>65</v>
      </c>
      <c r="B62" s="18">
        <v>16408</v>
      </c>
      <c r="C62" s="18">
        <v>16704</v>
      </c>
      <c r="D62" s="18">
        <v>4356</v>
      </c>
      <c r="E62" s="18"/>
      <c r="F62" s="5"/>
      <c r="G62" s="5"/>
      <c r="H62" s="5"/>
      <c r="I62" s="5"/>
      <c r="J62" s="5"/>
      <c r="K62" s="5"/>
      <c r="L62" s="5"/>
      <c r="M62" s="5"/>
      <c r="N62" s="5"/>
      <c r="O62" s="4"/>
    </row>
    <row r="63" spans="1:15" ht="12.75">
      <c r="A63" s="20" t="s">
        <v>66</v>
      </c>
      <c r="B63" s="18">
        <v>27363</v>
      </c>
      <c r="C63" s="18">
        <v>31150</v>
      </c>
      <c r="D63" s="18">
        <v>7834</v>
      </c>
      <c r="E63" s="18"/>
      <c r="F63" s="5"/>
      <c r="G63" s="5"/>
      <c r="H63" s="5"/>
      <c r="I63" s="5"/>
      <c r="J63" s="5"/>
      <c r="K63" s="5"/>
      <c r="L63" s="5"/>
      <c r="M63" s="5"/>
      <c r="N63" s="5"/>
      <c r="O63" s="4"/>
    </row>
    <row r="64" spans="1:15" ht="12.75">
      <c r="A64" s="20" t="s">
        <v>67</v>
      </c>
      <c r="B64" s="18">
        <v>18942</v>
      </c>
      <c r="C64" s="18">
        <v>21477</v>
      </c>
      <c r="D64" s="18">
        <v>7719</v>
      </c>
      <c r="E64" s="18"/>
      <c r="F64" s="5"/>
      <c r="G64" s="5"/>
      <c r="H64" s="5"/>
      <c r="I64" s="5"/>
      <c r="J64" s="5"/>
      <c r="K64" s="5"/>
      <c r="L64" s="5"/>
      <c r="M64" s="5"/>
      <c r="N64" s="5"/>
      <c r="O64" s="4"/>
    </row>
    <row r="65" spans="1:15" ht="12.75">
      <c r="A65" s="20" t="s">
        <v>140</v>
      </c>
      <c r="B65" s="18">
        <v>20346</v>
      </c>
      <c r="C65" s="18">
        <v>18580</v>
      </c>
      <c r="D65" s="18"/>
      <c r="E65" s="18"/>
      <c r="F65" s="5"/>
      <c r="G65" s="5"/>
      <c r="H65" s="5"/>
      <c r="I65" s="5"/>
      <c r="J65" s="5"/>
      <c r="K65" s="5"/>
      <c r="L65" s="5"/>
      <c r="M65" s="5"/>
      <c r="N65" s="5"/>
      <c r="O65" s="4"/>
    </row>
    <row r="66" spans="1:15" ht="12.75">
      <c r="A66" s="20"/>
      <c r="B66" s="18" t="s">
        <v>63</v>
      </c>
      <c r="C66" s="18" t="s">
        <v>63</v>
      </c>
      <c r="D66" s="18"/>
      <c r="E66" s="18"/>
      <c r="F66" s="5"/>
      <c r="G66" s="5"/>
      <c r="H66" s="5"/>
      <c r="I66" s="5"/>
      <c r="J66" s="5"/>
      <c r="K66" s="5"/>
      <c r="L66" s="5"/>
      <c r="M66" s="5"/>
      <c r="N66" s="5"/>
      <c r="O66" s="4"/>
    </row>
    <row r="67" spans="1:17" ht="12.75">
      <c r="A67" s="16" t="s">
        <v>113</v>
      </c>
      <c r="B67" s="19">
        <f>5899+16561</f>
        <v>22460</v>
      </c>
      <c r="C67" s="19">
        <f>3943+14734</f>
        <v>18677</v>
      </c>
      <c r="D67" s="19">
        <v>809</v>
      </c>
      <c r="E67" s="19">
        <v>671</v>
      </c>
      <c r="F67" s="6">
        <f>+(B67+C67)/2</f>
        <v>20568.5</v>
      </c>
      <c r="G67" s="6">
        <v>20000</v>
      </c>
      <c r="H67" s="6">
        <v>20000</v>
      </c>
      <c r="I67" s="6">
        <v>20000</v>
      </c>
      <c r="J67" s="6">
        <v>20000</v>
      </c>
      <c r="K67" s="6">
        <v>20000</v>
      </c>
      <c r="L67" s="6">
        <v>20000</v>
      </c>
      <c r="M67" s="6">
        <v>20000</v>
      </c>
      <c r="N67" s="6">
        <v>20000</v>
      </c>
      <c r="O67" s="6">
        <v>20000</v>
      </c>
      <c r="P67" s="58" t="s">
        <v>170</v>
      </c>
      <c r="Q67" s="7" t="s">
        <v>167</v>
      </c>
    </row>
    <row r="68" spans="1:15" ht="12.75">
      <c r="A68" s="16"/>
      <c r="B68" s="19"/>
      <c r="C68" s="19"/>
      <c r="D68" s="19"/>
      <c r="E68" s="19"/>
      <c r="F68" s="5"/>
      <c r="G68" s="5"/>
      <c r="H68" s="5"/>
      <c r="I68" s="5"/>
      <c r="J68" s="5"/>
      <c r="K68" s="5"/>
      <c r="L68" s="5"/>
      <c r="M68" s="5"/>
      <c r="N68" s="5"/>
      <c r="O68" s="4"/>
    </row>
    <row r="69" spans="1:15" ht="12.75">
      <c r="A69" s="16" t="s">
        <v>114</v>
      </c>
      <c r="B69" s="19">
        <f>+B70+B71+B72</f>
        <v>248463</v>
      </c>
      <c r="C69" s="19">
        <f>+C70+C71+C72</f>
        <v>136826</v>
      </c>
      <c r="D69" s="22">
        <v>0</v>
      </c>
      <c r="E69" s="22"/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</row>
    <row r="70" spans="1:15" ht="12.75">
      <c r="A70" s="20" t="s">
        <v>42</v>
      </c>
      <c r="B70" s="18">
        <v>153163</v>
      </c>
      <c r="C70" s="18">
        <v>93549</v>
      </c>
      <c r="D70" s="23">
        <v>1</v>
      </c>
      <c r="E70" s="23"/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</row>
    <row r="71" spans="1:15" ht="12.75">
      <c r="A71" s="20" t="s">
        <v>68</v>
      </c>
      <c r="B71" s="18">
        <v>90402</v>
      </c>
      <c r="C71" s="18">
        <v>38665</v>
      </c>
      <c r="D71" s="23">
        <v>-1</v>
      </c>
      <c r="E71" s="23"/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ht="12.75">
      <c r="A72" s="20" t="s">
        <v>140</v>
      </c>
      <c r="B72" s="18">
        <v>4898</v>
      </c>
      <c r="C72" s="18">
        <v>4612</v>
      </c>
      <c r="D72" s="23"/>
      <c r="E72" s="23"/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</row>
    <row r="73" spans="1:15" ht="12.75">
      <c r="A73" s="20"/>
      <c r="B73" s="18"/>
      <c r="C73" s="18"/>
      <c r="D73" s="23"/>
      <c r="E73" s="23"/>
      <c r="F73" s="5"/>
      <c r="G73" s="5"/>
      <c r="H73" s="5"/>
      <c r="I73" s="5"/>
      <c r="J73" s="5"/>
      <c r="K73" s="5"/>
      <c r="L73" s="5"/>
      <c r="M73" s="5"/>
      <c r="N73" s="5"/>
      <c r="O73" s="4"/>
    </row>
    <row r="74" spans="1:15" ht="12.75">
      <c r="A74" s="16"/>
      <c r="B74" s="19"/>
      <c r="C74" s="19"/>
      <c r="D74" s="19"/>
      <c r="E74" s="19"/>
      <c r="F74" s="5"/>
      <c r="G74" s="5"/>
      <c r="H74" s="5"/>
      <c r="I74" s="5"/>
      <c r="J74" s="5"/>
      <c r="K74" s="5"/>
      <c r="L74" s="5"/>
      <c r="M74" s="5"/>
      <c r="N74" s="5"/>
      <c r="O74" s="4"/>
    </row>
    <row r="75" spans="1:15" ht="12.75">
      <c r="A75" s="24"/>
      <c r="B75" s="25"/>
      <c r="C75" s="25"/>
      <c r="D75" s="25"/>
      <c r="E75" s="25"/>
      <c r="F75" s="5"/>
      <c r="G75" s="5"/>
      <c r="H75" s="5"/>
      <c r="I75" s="5"/>
      <c r="J75" s="5"/>
      <c r="K75" s="5"/>
      <c r="L75" s="5"/>
      <c r="M75" s="5"/>
      <c r="N75" s="5"/>
      <c r="O75" s="4"/>
    </row>
    <row r="76" spans="1:16" s="1" customFormat="1" ht="12.75">
      <c r="A76" s="16" t="s">
        <v>93</v>
      </c>
      <c r="B76" s="19">
        <f>+B78+B84+B90+B96+B102</f>
        <v>-864356</v>
      </c>
      <c r="C76" s="19">
        <f>+C78+C84+C90+C96+C102</f>
        <v>-738903</v>
      </c>
      <c r="D76" s="19" t="s">
        <v>6</v>
      </c>
      <c r="E76" s="19">
        <v>-114910</v>
      </c>
      <c r="F76" s="19">
        <f>+F78+F84+F90+F96+F102</f>
        <v>-604150.0386778569</v>
      </c>
      <c r="G76" s="19">
        <f aca="true" t="shared" si="21" ref="G76:O76">+G78+G84+G90+G96+G102</f>
        <v>-608677.998944045</v>
      </c>
      <c r="H76" s="19">
        <f t="shared" si="21"/>
        <v>-613474.7037836965</v>
      </c>
      <c r="I76" s="19">
        <f t="shared" si="21"/>
        <v>-618362.3991471899</v>
      </c>
      <c r="J76" s="19">
        <f t="shared" si="21"/>
        <v>-623342.8658176574</v>
      </c>
      <c r="K76" s="19">
        <f t="shared" si="21"/>
        <v>-628417.9201158722</v>
      </c>
      <c r="L76" s="19">
        <f t="shared" si="21"/>
        <v>-633589.4146195878</v>
      </c>
      <c r="M76" s="19">
        <f t="shared" si="21"/>
        <v>-638859.2388976328</v>
      </c>
      <c r="N76" s="19">
        <f t="shared" si="21"/>
        <v>-644229.3202590654</v>
      </c>
      <c r="O76" s="19">
        <f t="shared" si="21"/>
        <v>-649701.624517702</v>
      </c>
      <c r="P76" s="54"/>
    </row>
    <row r="77" spans="1:15" ht="12.75">
      <c r="A77" s="16"/>
      <c r="B77" s="18"/>
      <c r="C77" s="18"/>
      <c r="D77" s="18"/>
      <c r="E77" s="18" t="s">
        <v>6</v>
      </c>
      <c r="F77" s="5"/>
      <c r="G77" s="5"/>
      <c r="H77" s="5"/>
      <c r="I77" s="5"/>
      <c r="J77" s="5"/>
      <c r="K77" s="5"/>
      <c r="L77" s="5"/>
      <c r="M77" s="5"/>
      <c r="N77" s="5"/>
      <c r="O77" s="4"/>
    </row>
    <row r="78" spans="1:15" ht="12.75">
      <c r="A78" s="16" t="s">
        <v>39</v>
      </c>
      <c r="B78" s="19">
        <f>SUM(B79:B82)</f>
        <v>-447090</v>
      </c>
      <c r="C78" s="19">
        <f>SUM(C79:C82)</f>
        <v>-431145</v>
      </c>
      <c r="D78" s="18" t="s">
        <v>6</v>
      </c>
      <c r="E78" s="18"/>
      <c r="F78" s="6">
        <f>+F79+F80+F81+F82</f>
        <v>-433581.07413465355</v>
      </c>
      <c r="G78" s="6">
        <f aca="true" t="shared" si="22" ref="G78:O78">+G79+G80+G81+G82</f>
        <v>-437571.51986076985</v>
      </c>
      <c r="H78" s="6">
        <f t="shared" si="22"/>
        <v>-441636.3646081473</v>
      </c>
      <c r="I78" s="6">
        <f t="shared" si="22"/>
        <v>-445777.0422582786</v>
      </c>
      <c r="J78" s="6">
        <f t="shared" si="22"/>
        <v>-449995.01482929674</v>
      </c>
      <c r="K78" s="6">
        <f t="shared" si="22"/>
        <v>-454291.77303329844</v>
      </c>
      <c r="L78" s="6">
        <f t="shared" si="22"/>
        <v>-458668.8368447588</v>
      </c>
      <c r="M78" s="6">
        <f t="shared" si="22"/>
        <v>-463127.7560802611</v>
      </c>
      <c r="N78" s="6">
        <f t="shared" si="22"/>
        <v>-467670.110989764</v>
      </c>
      <c r="O78" s="6">
        <f t="shared" si="22"/>
        <v>-472297.5128596405</v>
      </c>
    </row>
    <row r="79" spans="1:17" ht="25.5">
      <c r="A79" s="20" t="s">
        <v>69</v>
      </c>
      <c r="B79" s="18">
        <v>-52839</v>
      </c>
      <c r="C79" s="18">
        <v>-58683</v>
      </c>
      <c r="D79" s="18"/>
      <c r="E79" s="18"/>
      <c r="F79" s="3">
        <f>+C79/C31*F31</f>
        <v>-59108.25413465354</v>
      </c>
      <c r="G79" s="3">
        <f>+F79/F31*G31</f>
        <v>-59649.24346076985</v>
      </c>
      <c r="H79" s="3">
        <f aca="true" t="shared" si="23" ref="H79:O79">+G79/G31*H31</f>
        <v>-60195.64268014732</v>
      </c>
      <c r="I79" s="3">
        <f t="shared" si="23"/>
        <v>-60747.505891718574</v>
      </c>
      <c r="J79" s="3">
        <f t="shared" si="23"/>
        <v>-61304.88773540552</v>
      </c>
      <c r="K79" s="3">
        <f t="shared" si="23"/>
        <v>-61867.843397529345</v>
      </c>
      <c r="L79" s="3">
        <f t="shared" si="23"/>
        <v>-62436.42861627441</v>
      </c>
      <c r="M79" s="3">
        <f t="shared" si="23"/>
        <v>-63010.69968720692</v>
      </c>
      <c r="N79" s="3">
        <f t="shared" si="23"/>
        <v>-63590.713468848764</v>
      </c>
      <c r="O79" s="3">
        <f t="shared" si="23"/>
        <v>-64176.52738830702</v>
      </c>
      <c r="P79" s="60" t="s">
        <v>152</v>
      </c>
      <c r="Q79" s="6" t="s">
        <v>168</v>
      </c>
    </row>
    <row r="80" spans="1:17" ht="12.75">
      <c r="A80" s="20" t="s">
        <v>10</v>
      </c>
      <c r="B80" s="18">
        <v>-186273</v>
      </c>
      <c r="C80" s="18">
        <v>-169091</v>
      </c>
      <c r="D80" s="18"/>
      <c r="E80" s="18"/>
      <c r="F80" s="3">
        <f>1.02*C80</f>
        <v>-172472.82</v>
      </c>
      <c r="G80" s="3">
        <f>+F80*1.02</f>
        <v>-175922.2764</v>
      </c>
      <c r="H80" s="3">
        <f aca="true" t="shared" si="24" ref="H80:O80">+G80*1.02</f>
        <v>-179440.721928</v>
      </c>
      <c r="I80" s="3">
        <f t="shared" si="24"/>
        <v>-183029.53636656003</v>
      </c>
      <c r="J80" s="3">
        <f t="shared" si="24"/>
        <v>-186690.12709389123</v>
      </c>
      <c r="K80" s="3">
        <f t="shared" si="24"/>
        <v>-190423.92963576908</v>
      </c>
      <c r="L80" s="3">
        <f t="shared" si="24"/>
        <v>-194232.40822848445</v>
      </c>
      <c r="M80" s="3">
        <f t="shared" si="24"/>
        <v>-198117.05639305414</v>
      </c>
      <c r="N80" s="3">
        <f t="shared" si="24"/>
        <v>-202079.39752091523</v>
      </c>
      <c r="O80" s="3">
        <f t="shared" si="24"/>
        <v>-206120.98547133352</v>
      </c>
      <c r="P80" s="59" t="s">
        <v>153</v>
      </c>
      <c r="Q80" s="7" t="s">
        <v>167</v>
      </c>
    </row>
    <row r="81" spans="1:17" ht="25.5">
      <c r="A81" s="20" t="s">
        <v>103</v>
      </c>
      <c r="B81" s="18">
        <v>-132288</v>
      </c>
      <c r="C81" s="18">
        <v>-132348</v>
      </c>
      <c r="D81" s="18"/>
      <c r="E81" s="18"/>
      <c r="F81" s="3">
        <v>-132000</v>
      </c>
      <c r="G81" s="3">
        <v>-132000</v>
      </c>
      <c r="H81" s="3">
        <v>-132000</v>
      </c>
      <c r="I81" s="3">
        <v>-132000</v>
      </c>
      <c r="J81" s="3">
        <v>-132000</v>
      </c>
      <c r="K81" s="3">
        <v>-132000</v>
      </c>
      <c r="L81" s="3">
        <v>-132000</v>
      </c>
      <c r="M81" s="3">
        <v>-132000</v>
      </c>
      <c r="N81" s="3">
        <v>-132000</v>
      </c>
      <c r="O81" s="3">
        <v>-132000</v>
      </c>
      <c r="P81" s="60" t="s">
        <v>154</v>
      </c>
      <c r="Q81" s="7" t="s">
        <v>167</v>
      </c>
    </row>
    <row r="82" spans="1:15" ht="12.75">
      <c r="A82" s="20" t="s">
        <v>104</v>
      </c>
      <c r="B82" s="18">
        <v>-75690</v>
      </c>
      <c r="C82" s="18">
        <v>-71023</v>
      </c>
      <c r="D82" s="18"/>
      <c r="E82" s="18"/>
      <c r="F82" s="3">
        <v>-70000</v>
      </c>
      <c r="G82" s="3">
        <v>-70000</v>
      </c>
      <c r="H82" s="3">
        <v>-70000</v>
      </c>
      <c r="I82" s="3">
        <v>-70000</v>
      </c>
      <c r="J82" s="3">
        <v>-70000</v>
      </c>
      <c r="K82" s="3">
        <v>-70000</v>
      </c>
      <c r="L82" s="3">
        <v>-70000</v>
      </c>
      <c r="M82" s="3">
        <v>-70000</v>
      </c>
      <c r="N82" s="3">
        <v>-70000</v>
      </c>
      <c r="O82" s="3">
        <v>-70000</v>
      </c>
    </row>
    <row r="83" spans="1:15" ht="12.75">
      <c r="A83" s="16"/>
      <c r="B83" s="18"/>
      <c r="C83" s="18"/>
      <c r="D83" s="18"/>
      <c r="E83" s="18"/>
      <c r="F83" s="6"/>
      <c r="G83" s="5"/>
      <c r="H83" s="5"/>
      <c r="I83" s="5"/>
      <c r="J83" s="5"/>
      <c r="K83" s="5"/>
      <c r="L83" s="5"/>
      <c r="M83" s="5"/>
      <c r="N83" s="5"/>
      <c r="O83" s="4"/>
    </row>
    <row r="84" spans="1:15" ht="12.75">
      <c r="A84" s="16" t="s">
        <v>105</v>
      </c>
      <c r="B84" s="19">
        <f>SUM(B85:B88)</f>
        <v>-80495</v>
      </c>
      <c r="C84" s="19">
        <f>SUM(C85:C88)</f>
        <v>-81182</v>
      </c>
      <c r="D84" s="18"/>
      <c r="E84" s="18"/>
      <c r="F84" s="6">
        <f>+F85+F86+F87+F88</f>
        <v>-79068.1</v>
      </c>
      <c r="G84" s="6">
        <f aca="true" t="shared" si="25" ref="G84:O84">+G85+G86+G87+G88</f>
        <v>-79489.462</v>
      </c>
      <c r="H84" s="6">
        <f t="shared" si="25"/>
        <v>-79919.25124</v>
      </c>
      <c r="I84" s="6">
        <f t="shared" si="25"/>
        <v>-80357.6362648</v>
      </c>
      <c r="J84" s="6">
        <f t="shared" si="25"/>
        <v>-80804.788990096</v>
      </c>
      <c r="K84" s="6">
        <f t="shared" si="25"/>
        <v>-81260.88476989792</v>
      </c>
      <c r="L84" s="6">
        <f t="shared" si="25"/>
        <v>-81726.10246529587</v>
      </c>
      <c r="M84" s="6">
        <f t="shared" si="25"/>
        <v>-82200.6245146018</v>
      </c>
      <c r="N84" s="6">
        <f t="shared" si="25"/>
        <v>-82684.63700489383</v>
      </c>
      <c r="O84" s="6">
        <f t="shared" si="25"/>
        <v>-83178.32974499172</v>
      </c>
    </row>
    <row r="85" spans="1:17" ht="25.5">
      <c r="A85" s="20" t="s">
        <v>69</v>
      </c>
      <c r="B85" s="18">
        <v>-8309</v>
      </c>
      <c r="C85" s="18">
        <v>-9117</v>
      </c>
      <c r="D85" s="18"/>
      <c r="E85" s="18"/>
      <c r="F85" s="3">
        <f>+C85/C60*F60</f>
        <v>-9299.34</v>
      </c>
      <c r="G85" s="3">
        <f>+F85/F60*G60</f>
        <v>-9485.3268</v>
      </c>
      <c r="H85" s="3">
        <f aca="true" t="shared" si="26" ref="H85:O85">+G85/G60*H60</f>
        <v>-9675.033336</v>
      </c>
      <c r="I85" s="3">
        <f t="shared" si="26"/>
        <v>-9868.53400272</v>
      </c>
      <c r="J85" s="3">
        <f t="shared" si="26"/>
        <v>-10065.9046827744</v>
      </c>
      <c r="K85" s="3">
        <f t="shared" si="26"/>
        <v>-10267.222776429888</v>
      </c>
      <c r="L85" s="3">
        <f t="shared" si="26"/>
        <v>-10472.567231958486</v>
      </c>
      <c r="M85" s="3">
        <f t="shared" si="26"/>
        <v>-10682.018576597657</v>
      </c>
      <c r="N85" s="3">
        <f t="shared" si="26"/>
        <v>-10895.65894812961</v>
      </c>
      <c r="O85" s="3">
        <f t="shared" si="26"/>
        <v>-11113.572127092202</v>
      </c>
      <c r="P85" s="60" t="s">
        <v>152</v>
      </c>
      <c r="Q85" s="6" t="s">
        <v>168</v>
      </c>
    </row>
    <row r="86" spans="1:17" ht="12.75">
      <c r="A86" s="20" t="s">
        <v>10</v>
      </c>
      <c r="B86" s="18">
        <v>-12407</v>
      </c>
      <c r="C86" s="18">
        <v>-11538</v>
      </c>
      <c r="D86" s="18"/>
      <c r="E86" s="18"/>
      <c r="F86" s="3">
        <f>1.02*C86</f>
        <v>-11768.76</v>
      </c>
      <c r="G86" s="3">
        <f>+F86*1.02</f>
        <v>-12004.1352</v>
      </c>
      <c r="H86" s="3">
        <f aca="true" t="shared" si="27" ref="H86:O86">+G86*1.02</f>
        <v>-12244.217904000001</v>
      </c>
      <c r="I86" s="3">
        <f t="shared" si="27"/>
        <v>-12489.102262080001</v>
      </c>
      <c r="J86" s="3">
        <f t="shared" si="27"/>
        <v>-12738.884307321601</v>
      </c>
      <c r="K86" s="3">
        <f t="shared" si="27"/>
        <v>-12993.661993468033</v>
      </c>
      <c r="L86" s="3">
        <f t="shared" si="27"/>
        <v>-13253.535233337394</v>
      </c>
      <c r="M86" s="3">
        <f t="shared" si="27"/>
        <v>-13518.605938004142</v>
      </c>
      <c r="N86" s="3">
        <f t="shared" si="27"/>
        <v>-13788.978056764225</v>
      </c>
      <c r="O86" s="3">
        <f t="shared" si="27"/>
        <v>-14064.75761789951</v>
      </c>
      <c r="P86" s="59" t="s">
        <v>153</v>
      </c>
      <c r="Q86" s="7" t="s">
        <v>167</v>
      </c>
    </row>
    <row r="87" spans="1:17" ht="25.5">
      <c r="A87" s="20" t="s">
        <v>103</v>
      </c>
      <c r="B87" s="18">
        <v>-21687</v>
      </c>
      <c r="C87" s="18">
        <v>-20592</v>
      </c>
      <c r="D87" s="18"/>
      <c r="E87" s="18"/>
      <c r="F87" s="3">
        <v>-20000</v>
      </c>
      <c r="G87" s="3">
        <v>-20000</v>
      </c>
      <c r="H87" s="3">
        <v>-20000</v>
      </c>
      <c r="I87" s="3">
        <v>-20000</v>
      </c>
      <c r="J87" s="3">
        <v>-20000</v>
      </c>
      <c r="K87" s="3">
        <v>-20000</v>
      </c>
      <c r="L87" s="3">
        <v>-20000</v>
      </c>
      <c r="M87" s="3">
        <v>-20000</v>
      </c>
      <c r="N87" s="3">
        <v>-20000</v>
      </c>
      <c r="O87" s="3">
        <v>-20000</v>
      </c>
      <c r="P87" s="60" t="s">
        <v>154</v>
      </c>
      <c r="Q87" s="7" t="s">
        <v>167</v>
      </c>
    </row>
    <row r="88" spans="1:15" ht="12.75">
      <c r="A88" s="20" t="s">
        <v>104</v>
      </c>
      <c r="B88" s="18">
        <v>-38092</v>
      </c>
      <c r="C88" s="18">
        <v>-39935</v>
      </c>
      <c r="D88" s="18"/>
      <c r="E88" s="18"/>
      <c r="F88" s="3">
        <v>-38000</v>
      </c>
      <c r="G88" s="3">
        <v>-38000</v>
      </c>
      <c r="H88" s="3">
        <v>-38000</v>
      </c>
      <c r="I88" s="3">
        <v>-38000</v>
      </c>
      <c r="J88" s="3">
        <v>-38000</v>
      </c>
      <c r="K88" s="3">
        <v>-38000</v>
      </c>
      <c r="L88" s="3">
        <v>-38000</v>
      </c>
      <c r="M88" s="3">
        <v>-38000</v>
      </c>
      <c r="N88" s="3">
        <v>-38000</v>
      </c>
      <c r="O88" s="3">
        <v>-38000</v>
      </c>
    </row>
    <row r="89" spans="1:15" ht="12.75">
      <c r="A89" s="16"/>
      <c r="B89" s="18"/>
      <c r="C89" s="18"/>
      <c r="D89" s="18"/>
      <c r="E89" s="18"/>
      <c r="F89" s="6"/>
      <c r="G89" s="5"/>
      <c r="H89" s="5"/>
      <c r="I89" s="5"/>
      <c r="J89" s="5"/>
      <c r="K89" s="5"/>
      <c r="L89" s="5"/>
      <c r="M89" s="5"/>
      <c r="N89" s="5"/>
      <c r="O89" s="4"/>
    </row>
    <row r="90" spans="1:15" ht="12.75">
      <c r="A90" s="16" t="s">
        <v>106</v>
      </c>
      <c r="B90" s="19">
        <f>SUM(B91:B94)</f>
        <v>-69059</v>
      </c>
      <c r="C90" s="19">
        <f>SUM(C91:C94)</f>
        <v>-68957</v>
      </c>
      <c r="D90" s="18"/>
      <c r="E90" s="18"/>
      <c r="F90" s="6">
        <f>+F91+F92+F93+F94</f>
        <v>-66321.36454320342</v>
      </c>
      <c r="G90" s="6">
        <f aca="true" t="shared" si="28" ref="G90:O90">+G91+G92+G93+G94</f>
        <v>-66617.01708327522</v>
      </c>
      <c r="H90" s="6">
        <f t="shared" si="28"/>
        <v>-66919.08793554915</v>
      </c>
      <c r="I90" s="6">
        <f t="shared" si="28"/>
        <v>-67227.72062411132</v>
      </c>
      <c r="J90" s="6">
        <f t="shared" si="28"/>
        <v>-67543.06199826475</v>
      </c>
      <c r="K90" s="6">
        <f t="shared" si="28"/>
        <v>-67865.26231267586</v>
      </c>
      <c r="L90" s="6">
        <f t="shared" si="28"/>
        <v>-68194.47530953307</v>
      </c>
      <c r="M90" s="6">
        <f t="shared" si="28"/>
        <v>-68530.85830277</v>
      </c>
      <c r="N90" s="6">
        <f t="shared" si="28"/>
        <v>-68874.57226440756</v>
      </c>
      <c r="O90" s="6">
        <f t="shared" si="28"/>
        <v>-69225.7819130698</v>
      </c>
    </row>
    <row r="91" spans="1:17" ht="25.5">
      <c r="A91" s="20" t="s">
        <v>69</v>
      </c>
      <c r="B91" s="18">
        <v>-5796</v>
      </c>
      <c r="C91" s="18">
        <v>-2965</v>
      </c>
      <c r="D91" s="18"/>
      <c r="E91" s="18"/>
      <c r="F91" s="3">
        <f>+C91/C54*F54</f>
        <v>-3065.0445432034257</v>
      </c>
      <c r="G91" s="3">
        <f>+F91/F54*G54</f>
        <v>-3115.570683275214</v>
      </c>
      <c r="H91" s="3">
        <f aca="true" t="shared" si="29" ref="H91:O91">+G91/G54*H54</f>
        <v>-3167.612607549156</v>
      </c>
      <c r="I91" s="3">
        <f t="shared" si="29"/>
        <v>-3221.215789551316</v>
      </c>
      <c r="J91" s="3">
        <f t="shared" si="29"/>
        <v>-3276.4270670135406</v>
      </c>
      <c r="K91" s="3">
        <f t="shared" si="29"/>
        <v>-3333.294682799632</v>
      </c>
      <c r="L91" s="3">
        <f t="shared" si="29"/>
        <v>-3391.8683270593065</v>
      </c>
      <c r="M91" s="3">
        <f t="shared" si="29"/>
        <v>-3452.199180646771</v>
      </c>
      <c r="N91" s="3">
        <f t="shared" si="29"/>
        <v>-3514.3399598418596</v>
      </c>
      <c r="O91" s="3">
        <f t="shared" si="29"/>
        <v>-3578.3449624128</v>
      </c>
      <c r="P91" s="60" t="s">
        <v>152</v>
      </c>
      <c r="Q91" s="6" t="s">
        <v>168</v>
      </c>
    </row>
    <row r="92" spans="1:17" ht="12.75">
      <c r="A92" s="20" t="s">
        <v>10</v>
      </c>
      <c r="B92" s="18">
        <v>-11219</v>
      </c>
      <c r="C92" s="18">
        <v>-12016</v>
      </c>
      <c r="D92" s="18"/>
      <c r="E92" s="18"/>
      <c r="F92" s="3">
        <f>1.02*C92</f>
        <v>-12256.32</v>
      </c>
      <c r="G92" s="3">
        <f>+F92*1.02</f>
        <v>-12501.4464</v>
      </c>
      <c r="H92" s="3">
        <f aca="true" t="shared" si="30" ref="H92:O92">+G92*1.02</f>
        <v>-12751.475328</v>
      </c>
      <c r="I92" s="3">
        <f t="shared" si="30"/>
        <v>-13006.50483456</v>
      </c>
      <c r="J92" s="3">
        <f t="shared" si="30"/>
        <v>-13266.634931251201</v>
      </c>
      <c r="K92" s="3">
        <f t="shared" si="30"/>
        <v>-13531.967629876226</v>
      </c>
      <c r="L92" s="3">
        <f t="shared" si="30"/>
        <v>-13802.606982473751</v>
      </c>
      <c r="M92" s="3">
        <f t="shared" si="30"/>
        <v>-14078.659122123227</v>
      </c>
      <c r="N92" s="3">
        <f t="shared" si="30"/>
        <v>-14360.232304565692</v>
      </c>
      <c r="O92" s="3">
        <f t="shared" si="30"/>
        <v>-14647.436950657006</v>
      </c>
      <c r="P92" s="59" t="s">
        <v>153</v>
      </c>
      <c r="Q92" s="7" t="s">
        <v>167</v>
      </c>
    </row>
    <row r="93" spans="1:17" ht="25.5">
      <c r="A93" s="20" t="s">
        <v>103</v>
      </c>
      <c r="B93" s="18">
        <v>-36135</v>
      </c>
      <c r="C93" s="18">
        <v>-37502</v>
      </c>
      <c r="D93" s="18"/>
      <c r="E93" s="18"/>
      <c r="F93" s="3">
        <v>-36000</v>
      </c>
      <c r="G93" s="3">
        <v>-36000</v>
      </c>
      <c r="H93" s="3">
        <v>-36000</v>
      </c>
      <c r="I93" s="3">
        <v>-36000</v>
      </c>
      <c r="J93" s="3">
        <v>-36000</v>
      </c>
      <c r="K93" s="3">
        <v>-36000</v>
      </c>
      <c r="L93" s="3">
        <v>-36000</v>
      </c>
      <c r="M93" s="3">
        <v>-36000</v>
      </c>
      <c r="N93" s="3">
        <v>-36000</v>
      </c>
      <c r="O93" s="3">
        <v>-36000</v>
      </c>
      <c r="P93" s="60" t="s">
        <v>154</v>
      </c>
      <c r="Q93" s="7" t="s">
        <v>167</v>
      </c>
    </row>
    <row r="94" spans="1:15" ht="12.75">
      <c r="A94" s="20" t="s">
        <v>104</v>
      </c>
      <c r="B94" s="18">
        <v>-15909</v>
      </c>
      <c r="C94" s="18">
        <v>-16474</v>
      </c>
      <c r="D94" s="18"/>
      <c r="E94" s="18"/>
      <c r="F94" s="3">
        <v>-15000</v>
      </c>
      <c r="G94" s="3">
        <v>-15000</v>
      </c>
      <c r="H94" s="3">
        <v>-15000</v>
      </c>
      <c r="I94" s="3">
        <v>-15000</v>
      </c>
      <c r="J94" s="3">
        <v>-15000</v>
      </c>
      <c r="K94" s="3">
        <v>-15000</v>
      </c>
      <c r="L94" s="3">
        <v>-15000</v>
      </c>
      <c r="M94" s="3">
        <v>-15000</v>
      </c>
      <c r="N94" s="3">
        <v>-15000</v>
      </c>
      <c r="O94" s="3">
        <v>-15000</v>
      </c>
    </row>
    <row r="95" spans="1:15" ht="12.75">
      <c r="A95" s="20"/>
      <c r="B95" s="18"/>
      <c r="C95" s="18"/>
      <c r="D95" s="18"/>
      <c r="E95" s="18"/>
      <c r="G95" s="2"/>
      <c r="O95" s="4"/>
    </row>
    <row r="96" spans="1:17" s="1" customFormat="1" ht="12.75">
      <c r="A96" s="16" t="s">
        <v>107</v>
      </c>
      <c r="B96" s="19">
        <f>SUM(B97:B100)</f>
        <v>-33058</v>
      </c>
      <c r="C96" s="19">
        <f>SUM(C97:C100)</f>
        <v>-17301</v>
      </c>
      <c r="D96" s="19"/>
      <c r="E96" s="19"/>
      <c r="F96" s="6">
        <f>+(B96+C96)/2</f>
        <v>-25179.5</v>
      </c>
      <c r="G96" s="6">
        <v>-25000</v>
      </c>
      <c r="H96" s="6">
        <v>-25000</v>
      </c>
      <c r="I96" s="6">
        <v>-25000</v>
      </c>
      <c r="J96" s="6">
        <v>-25000</v>
      </c>
      <c r="K96" s="6">
        <v>-25000</v>
      </c>
      <c r="L96" s="6">
        <v>-25000</v>
      </c>
      <c r="M96" s="6">
        <v>-25000</v>
      </c>
      <c r="N96" s="6">
        <v>-25000</v>
      </c>
      <c r="O96" s="6">
        <v>-25000</v>
      </c>
      <c r="P96" s="58" t="s">
        <v>170</v>
      </c>
      <c r="Q96" s="7" t="s">
        <v>167</v>
      </c>
    </row>
    <row r="97" spans="1:15" ht="12.75">
      <c r="A97" s="20" t="s">
        <v>69</v>
      </c>
      <c r="B97" s="18">
        <v>-10431</v>
      </c>
      <c r="C97" s="18">
        <v>-5459</v>
      </c>
      <c r="D97" s="18"/>
      <c r="E97" s="18"/>
      <c r="G97" s="2"/>
      <c r="O97" s="4"/>
    </row>
    <row r="98" spans="1:15" ht="12.75">
      <c r="A98" s="20" t="s">
        <v>10</v>
      </c>
      <c r="B98" s="18">
        <v>-889</v>
      </c>
      <c r="C98" s="18">
        <v>-170</v>
      </c>
      <c r="D98" s="18"/>
      <c r="E98" s="18"/>
      <c r="G98" s="2"/>
      <c r="O98" s="4"/>
    </row>
    <row r="99" spans="1:15" ht="12.75">
      <c r="A99" s="20" t="s">
        <v>103</v>
      </c>
      <c r="B99" s="18">
        <v>-15925</v>
      </c>
      <c r="C99" s="18">
        <v>-9585</v>
      </c>
      <c r="D99" s="18"/>
      <c r="E99" s="18"/>
      <c r="G99" s="2"/>
      <c r="O99" s="4"/>
    </row>
    <row r="100" spans="1:15" ht="12.75">
      <c r="A100" s="20" t="s">
        <v>104</v>
      </c>
      <c r="B100" s="18">
        <v>-5813</v>
      </c>
      <c r="C100" s="18">
        <v>-2087</v>
      </c>
      <c r="D100" s="18"/>
      <c r="E100" s="18"/>
      <c r="G100" s="2"/>
      <c r="O100" s="4"/>
    </row>
    <row r="101" spans="1:15" ht="12.75">
      <c r="A101" s="20"/>
      <c r="B101" s="18"/>
      <c r="C101" s="18"/>
      <c r="D101" s="18"/>
      <c r="E101" s="18"/>
      <c r="F101" s="3" t="s">
        <v>139</v>
      </c>
      <c r="G101" s="2"/>
      <c r="O101" s="4"/>
    </row>
    <row r="102" spans="1:16" s="1" customFormat="1" ht="12.75">
      <c r="A102" s="16" t="s">
        <v>108</v>
      </c>
      <c r="B102" s="19">
        <f>SUM(B103:B106)</f>
        <v>-234654</v>
      </c>
      <c r="C102" s="19">
        <f>SUM(C103:C106)</f>
        <v>-140318</v>
      </c>
      <c r="D102" s="19"/>
      <c r="E102" s="19"/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54"/>
    </row>
    <row r="103" spans="1:15" ht="12.75">
      <c r="A103" s="20" t="s">
        <v>69</v>
      </c>
      <c r="B103" s="18">
        <v>-14747</v>
      </c>
      <c r="C103" s="18">
        <v>-8577</v>
      </c>
      <c r="D103" s="18"/>
      <c r="E103" s="18"/>
      <c r="G103" s="2"/>
      <c r="O103" s="4"/>
    </row>
    <row r="104" spans="1:15" ht="12.75">
      <c r="A104" s="20" t="s">
        <v>10</v>
      </c>
      <c r="B104" s="18">
        <v>-65618</v>
      </c>
      <c r="C104" s="18">
        <v>-35885</v>
      </c>
      <c r="D104" s="18"/>
      <c r="E104" s="18"/>
      <c r="G104" s="2"/>
      <c r="O104" s="4"/>
    </row>
    <row r="105" spans="1:15" ht="12.75">
      <c r="A105" s="20" t="s">
        <v>103</v>
      </c>
      <c r="B105" s="18">
        <v>-143310</v>
      </c>
      <c r="C105" s="18">
        <v>-90013</v>
      </c>
      <c r="D105" s="18"/>
      <c r="E105" s="18"/>
      <c r="G105" s="2"/>
      <c r="O105" s="4"/>
    </row>
    <row r="106" spans="1:15" ht="12.75">
      <c r="A106" s="20" t="s">
        <v>104</v>
      </c>
      <c r="B106" s="18">
        <v>-10979</v>
      </c>
      <c r="C106" s="18">
        <v>-5843</v>
      </c>
      <c r="D106" s="18"/>
      <c r="E106" s="18"/>
      <c r="G106" s="2"/>
      <c r="O106" s="4"/>
    </row>
    <row r="107" spans="1:15" ht="12.75">
      <c r="A107" s="20"/>
      <c r="B107" s="18"/>
      <c r="C107" s="18"/>
      <c r="D107" s="18"/>
      <c r="E107" s="18" t="s">
        <v>6</v>
      </c>
      <c r="G107" s="2"/>
      <c r="O107" s="4"/>
    </row>
    <row r="108" spans="1:15" ht="12.75">
      <c r="A108" s="16"/>
      <c r="B108" s="19"/>
      <c r="C108" s="19"/>
      <c r="D108" s="19"/>
      <c r="E108" s="19"/>
      <c r="F108" s="6"/>
      <c r="G108" s="5"/>
      <c r="H108" s="5"/>
      <c r="I108" s="5"/>
      <c r="J108" s="5"/>
      <c r="K108" s="5"/>
      <c r="L108" s="5"/>
      <c r="M108" s="5"/>
      <c r="N108" s="5"/>
      <c r="O108" s="4"/>
    </row>
    <row r="109" spans="1:15" ht="12.75">
      <c r="A109" s="16" t="s">
        <v>94</v>
      </c>
      <c r="B109" s="19">
        <f>+B28+B76</f>
        <v>110185</v>
      </c>
      <c r="C109" s="19">
        <f>+C28+C76</f>
        <v>95932</v>
      </c>
      <c r="D109" s="19" t="s">
        <v>6</v>
      </c>
      <c r="E109" s="19">
        <f>+E28+E76</f>
        <v>21714</v>
      </c>
      <c r="F109" s="19">
        <f>+F28+F76</f>
        <v>100764.45023669035</v>
      </c>
      <c r="G109" s="19">
        <f aca="true" t="shared" si="31" ref="G109:O109">+G28+G76</f>
        <v>107249.40991539252</v>
      </c>
      <c r="H109" s="19">
        <f t="shared" si="31"/>
        <v>113112.90009297791</v>
      </c>
      <c r="I109" s="19">
        <f t="shared" si="31"/>
        <v>117652.49865253852</v>
      </c>
      <c r="J109" s="19">
        <f t="shared" si="31"/>
        <v>122356.72773410089</v>
      </c>
      <c r="K109" s="19">
        <f t="shared" si="31"/>
        <v>127233.38687866624</v>
      </c>
      <c r="L109" s="19">
        <f t="shared" si="31"/>
        <v>132290.67246174428</v>
      </c>
      <c r="M109" s="19">
        <f t="shared" si="31"/>
        <v>137537.19846120197</v>
      </c>
      <c r="N109" s="19">
        <f t="shared" si="31"/>
        <v>142982.01833168766</v>
      </c>
      <c r="O109" s="19">
        <f t="shared" si="31"/>
        <v>148634.64804531727</v>
      </c>
    </row>
    <row r="110" spans="1:15" ht="12.75">
      <c r="A110" s="16"/>
      <c r="B110" s="19"/>
      <c r="C110" s="19"/>
      <c r="D110" s="19"/>
      <c r="E110" s="19"/>
      <c r="F110" s="5"/>
      <c r="G110" s="5"/>
      <c r="H110" s="5"/>
      <c r="I110" s="5"/>
      <c r="J110" s="5"/>
      <c r="K110" s="5"/>
      <c r="L110" s="5"/>
      <c r="M110" s="5"/>
      <c r="N110" s="5"/>
      <c r="O110" s="4"/>
    </row>
    <row r="111" spans="1:15" ht="12.75">
      <c r="A111" s="16" t="s">
        <v>95</v>
      </c>
      <c r="B111" s="19">
        <v>272161</v>
      </c>
      <c r="C111" s="19">
        <v>227917</v>
      </c>
      <c r="D111" s="19">
        <v>47465</v>
      </c>
      <c r="E111" s="19">
        <v>46150</v>
      </c>
      <c r="F111" s="6">
        <f>-(F80+F86+F92)</f>
        <v>196497.90000000002</v>
      </c>
      <c r="G111" s="6">
        <f aca="true" t="shared" si="32" ref="G111:O111">-(G80+G86+G92)</f>
        <v>200427.858</v>
      </c>
      <c r="H111" s="6">
        <f t="shared" si="32"/>
        <v>204436.41516</v>
      </c>
      <c r="I111" s="6">
        <f t="shared" si="32"/>
        <v>208525.14346320005</v>
      </c>
      <c r="J111" s="6">
        <f t="shared" si="32"/>
        <v>212695.64633246404</v>
      </c>
      <c r="K111" s="6">
        <f t="shared" si="32"/>
        <v>216949.55925911333</v>
      </c>
      <c r="L111" s="6">
        <f t="shared" si="32"/>
        <v>221288.5504442956</v>
      </c>
      <c r="M111" s="6">
        <f t="shared" si="32"/>
        <v>225714.32145318153</v>
      </c>
      <c r="N111" s="6">
        <f t="shared" si="32"/>
        <v>230228.60788224515</v>
      </c>
      <c r="O111" s="6">
        <f t="shared" si="32"/>
        <v>234833.18003989002</v>
      </c>
    </row>
    <row r="112" spans="1:15" ht="12.75">
      <c r="A112" s="16"/>
      <c r="B112" s="19"/>
      <c r="C112" s="19"/>
      <c r="D112" s="19"/>
      <c r="E112" s="19"/>
      <c r="F112" s="5"/>
      <c r="G112" s="5"/>
      <c r="H112" s="5"/>
      <c r="I112" s="5"/>
      <c r="J112" s="5"/>
      <c r="K112" s="5"/>
      <c r="L112" s="5"/>
      <c r="M112" s="5"/>
      <c r="N112" s="5"/>
      <c r="O112" s="4"/>
    </row>
    <row r="113" spans="1:15" ht="12.75">
      <c r="A113" s="16"/>
      <c r="B113" s="26"/>
      <c r="C113" s="26"/>
      <c r="D113" s="26"/>
      <c r="E113" s="26"/>
      <c r="F113" s="5" t="s">
        <v>6</v>
      </c>
      <c r="G113" s="5"/>
      <c r="H113" s="5"/>
      <c r="I113" s="5"/>
      <c r="J113" s="5"/>
      <c r="K113" s="5"/>
      <c r="L113" s="5"/>
      <c r="M113" s="5"/>
      <c r="N113" s="5"/>
      <c r="O113" s="4"/>
    </row>
    <row r="114" spans="1:15" ht="12.75">
      <c r="A114" s="16" t="s">
        <v>96</v>
      </c>
      <c r="B114" s="19">
        <f>SUM(B115:B121)</f>
        <v>-77976</v>
      </c>
      <c r="C114" s="19">
        <f>SUM(C115:C121)</f>
        <v>275173</v>
      </c>
      <c r="D114" s="19">
        <f>SUM(D115:D121)</f>
        <v>-31683</v>
      </c>
      <c r="E114" s="19"/>
      <c r="F114" s="6">
        <f>+F115+F118</f>
        <v>-26218</v>
      </c>
      <c r="G114" s="5">
        <f aca="true" t="shared" si="33" ref="G114:O114">+G115+G116+G117+G118+G119+G120+G121</f>
        <v>-26218</v>
      </c>
      <c r="H114" s="5">
        <f t="shared" si="33"/>
        <v>-26218</v>
      </c>
      <c r="I114" s="5">
        <f t="shared" si="33"/>
        <v>-26218</v>
      </c>
      <c r="J114" s="5">
        <f t="shared" si="33"/>
        <v>-26218</v>
      </c>
      <c r="K114" s="5">
        <f t="shared" si="33"/>
        <v>-26218</v>
      </c>
      <c r="L114" s="5">
        <f t="shared" si="33"/>
        <v>-26218</v>
      </c>
      <c r="M114" s="5">
        <f t="shared" si="33"/>
        <v>-26218</v>
      </c>
      <c r="N114" s="5">
        <f t="shared" si="33"/>
        <v>-26218</v>
      </c>
      <c r="O114" s="5">
        <f t="shared" si="33"/>
        <v>-26218</v>
      </c>
    </row>
    <row r="115" spans="1:17" ht="25.5">
      <c r="A115" s="20" t="s">
        <v>71</v>
      </c>
      <c r="B115" s="18">
        <v>7254</v>
      </c>
      <c r="C115" s="18">
        <v>9286</v>
      </c>
      <c r="D115" s="18">
        <v>2106</v>
      </c>
      <c r="E115" s="18">
        <v>3341</v>
      </c>
      <c r="F115" s="3">
        <f>+(B115+C115)/2</f>
        <v>8270</v>
      </c>
      <c r="G115" s="3">
        <v>8270</v>
      </c>
      <c r="H115" s="3">
        <v>8270</v>
      </c>
      <c r="I115" s="3">
        <v>8270</v>
      </c>
      <c r="J115" s="3">
        <v>8270</v>
      </c>
      <c r="K115" s="3">
        <v>8270</v>
      </c>
      <c r="L115" s="3">
        <v>8270</v>
      </c>
      <c r="M115" s="3">
        <v>8270</v>
      </c>
      <c r="N115" s="3">
        <v>8270</v>
      </c>
      <c r="O115" s="3">
        <v>8270</v>
      </c>
      <c r="P115" s="60" t="s">
        <v>163</v>
      </c>
      <c r="Q115" s="7" t="s">
        <v>167</v>
      </c>
    </row>
    <row r="116" spans="1:15" ht="12.75">
      <c r="A116" s="20" t="s">
        <v>72</v>
      </c>
      <c r="B116" s="18">
        <v>12642</v>
      </c>
      <c r="C116" s="18">
        <v>475489</v>
      </c>
      <c r="D116" s="18">
        <v>969</v>
      </c>
      <c r="E116" s="18">
        <v>578</v>
      </c>
      <c r="F116" s="3">
        <v>0</v>
      </c>
      <c r="G116" s="2"/>
      <c r="O116" s="4"/>
    </row>
    <row r="117" spans="1:15" ht="12.75">
      <c r="A117" s="20" t="s">
        <v>73</v>
      </c>
      <c r="B117" s="18">
        <v>697</v>
      </c>
      <c r="C117" s="18">
        <v>542</v>
      </c>
      <c r="D117" s="18">
        <v>272</v>
      </c>
      <c r="E117" s="18">
        <v>386</v>
      </c>
      <c r="F117" s="3">
        <v>0</v>
      </c>
      <c r="G117" s="2"/>
      <c r="O117" s="4"/>
    </row>
    <row r="118" spans="1:17" ht="25.5">
      <c r="A118" s="20" t="s">
        <v>74</v>
      </c>
      <c r="B118" s="18">
        <v>-62776</v>
      </c>
      <c r="C118" s="18">
        <v>-54054</v>
      </c>
      <c r="D118" s="18">
        <v>-18308</v>
      </c>
      <c r="E118" s="18">
        <v>-8622</v>
      </c>
      <c r="F118" s="3">
        <f>4*E118</f>
        <v>-34488</v>
      </c>
      <c r="G118" s="2">
        <f>+F118</f>
        <v>-34488</v>
      </c>
      <c r="H118" s="2">
        <f aca="true" t="shared" si="34" ref="H118:O118">+G118</f>
        <v>-34488</v>
      </c>
      <c r="I118" s="2">
        <f t="shared" si="34"/>
        <v>-34488</v>
      </c>
      <c r="J118" s="2">
        <f t="shared" si="34"/>
        <v>-34488</v>
      </c>
      <c r="K118" s="2">
        <f t="shared" si="34"/>
        <v>-34488</v>
      </c>
      <c r="L118" s="2">
        <f t="shared" si="34"/>
        <v>-34488</v>
      </c>
      <c r="M118" s="2">
        <f t="shared" si="34"/>
        <v>-34488</v>
      </c>
      <c r="N118" s="2">
        <f t="shared" si="34"/>
        <v>-34488</v>
      </c>
      <c r="O118" s="2">
        <f t="shared" si="34"/>
        <v>-34488</v>
      </c>
      <c r="P118" s="60" t="s">
        <v>162</v>
      </c>
      <c r="Q118" s="7" t="s">
        <v>167</v>
      </c>
    </row>
    <row r="119" spans="1:15" ht="12.75">
      <c r="A119" s="20" t="s">
        <v>75</v>
      </c>
      <c r="B119" s="18">
        <v>-23661</v>
      </c>
      <c r="C119" s="18">
        <v>-140402</v>
      </c>
      <c r="D119" s="18">
        <v>-365</v>
      </c>
      <c r="E119" s="18">
        <v>-374</v>
      </c>
      <c r="F119" s="3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</row>
    <row r="120" spans="1:15" ht="12.75">
      <c r="A120" s="20" t="s">
        <v>76</v>
      </c>
      <c r="B120" s="18">
        <v>-12783</v>
      </c>
      <c r="C120" s="18">
        <v>-24670</v>
      </c>
      <c r="D120" s="18">
        <v>-16835</v>
      </c>
      <c r="E120" s="18">
        <v>-1436</v>
      </c>
      <c r="F120" s="3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</row>
    <row r="121" spans="1:15" ht="12.75">
      <c r="A121" s="20" t="s">
        <v>77</v>
      </c>
      <c r="B121" s="18">
        <v>651</v>
      </c>
      <c r="C121" s="18">
        <v>8982</v>
      </c>
      <c r="D121" s="18">
        <v>478</v>
      </c>
      <c r="E121" s="18">
        <v>-2997</v>
      </c>
      <c r="F121" s="3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</row>
    <row r="122" spans="1:15" ht="12.75">
      <c r="A122" s="20"/>
      <c r="B122" s="18"/>
      <c r="C122" s="18"/>
      <c r="D122" s="18"/>
      <c r="E122" s="18"/>
      <c r="F122" s="5"/>
      <c r="G122" s="2"/>
      <c r="O122" s="4"/>
    </row>
    <row r="123" spans="1:15" ht="12.75">
      <c r="A123" s="16" t="s">
        <v>78</v>
      </c>
      <c r="B123" s="19">
        <v>-77976</v>
      </c>
      <c r="C123" s="19">
        <v>275173</v>
      </c>
      <c r="D123" s="19">
        <v>-31683</v>
      </c>
      <c r="E123" s="19"/>
      <c r="F123" s="6">
        <f>+F114</f>
        <v>-26218</v>
      </c>
      <c r="G123" s="5">
        <f aca="true" t="shared" si="35" ref="G123:O123">+G114</f>
        <v>-26218</v>
      </c>
      <c r="H123" s="5">
        <f t="shared" si="35"/>
        <v>-26218</v>
      </c>
      <c r="I123" s="5">
        <f t="shared" si="35"/>
        <v>-26218</v>
      </c>
      <c r="J123" s="5">
        <f t="shared" si="35"/>
        <v>-26218</v>
      </c>
      <c r="K123" s="5">
        <f t="shared" si="35"/>
        <v>-26218</v>
      </c>
      <c r="L123" s="5">
        <f t="shared" si="35"/>
        <v>-26218</v>
      </c>
      <c r="M123" s="5">
        <f t="shared" si="35"/>
        <v>-26218</v>
      </c>
      <c r="N123" s="5">
        <f t="shared" si="35"/>
        <v>-26218</v>
      </c>
      <c r="O123" s="5">
        <f t="shared" si="35"/>
        <v>-26218</v>
      </c>
    </row>
    <row r="124" spans="1:15" ht="12.75">
      <c r="A124" s="16"/>
      <c r="B124" s="19"/>
      <c r="C124" s="19"/>
      <c r="D124" s="19"/>
      <c r="E124" s="19"/>
      <c r="F124" s="5"/>
      <c r="G124" s="5"/>
      <c r="H124" s="5"/>
      <c r="I124" s="5"/>
      <c r="J124" s="5"/>
      <c r="K124" s="5"/>
      <c r="L124" s="5"/>
      <c r="M124" s="5"/>
      <c r="N124" s="5"/>
      <c r="O124" s="4"/>
    </row>
    <row r="125" spans="1:25" ht="12.75">
      <c r="A125" s="16" t="s">
        <v>97</v>
      </c>
      <c r="B125" s="19">
        <v>40266</v>
      </c>
      <c r="C125" s="19">
        <v>374307</v>
      </c>
      <c r="D125" s="19">
        <v>-10384</v>
      </c>
      <c r="E125" s="19">
        <v>12590</v>
      </c>
      <c r="F125" s="6">
        <f>+F123+F109</f>
        <v>74546.45023669035</v>
      </c>
      <c r="G125" s="6">
        <f aca="true" t="shared" si="36" ref="G125:O125">+G123+G109</f>
        <v>81031.40991539252</v>
      </c>
      <c r="H125" s="6">
        <f t="shared" si="36"/>
        <v>86894.90009297791</v>
      </c>
      <c r="I125" s="6">
        <f t="shared" si="36"/>
        <v>91434.49865253852</v>
      </c>
      <c r="J125" s="6">
        <f t="shared" si="36"/>
        <v>96138.72773410089</v>
      </c>
      <c r="K125" s="6">
        <f t="shared" si="36"/>
        <v>101015.38687866624</v>
      </c>
      <c r="L125" s="6">
        <f t="shared" si="36"/>
        <v>106072.67246174428</v>
      </c>
      <c r="M125" s="6">
        <f t="shared" si="36"/>
        <v>111319.19846120197</v>
      </c>
      <c r="N125" s="6">
        <f t="shared" si="36"/>
        <v>116764.01833168766</v>
      </c>
      <c r="O125" s="6">
        <f t="shared" si="36"/>
        <v>122416.64804531727</v>
      </c>
      <c r="P125" s="56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15" ht="12.75">
      <c r="A126" s="20" t="s">
        <v>79</v>
      </c>
      <c r="B126" s="18">
        <v>-29735</v>
      </c>
      <c r="C126" s="18">
        <v>-62395</v>
      </c>
      <c r="D126" s="18">
        <v>-2257</v>
      </c>
      <c r="E126" s="18">
        <v>-4437</v>
      </c>
      <c r="F126" s="3">
        <f>-0.17*F125</f>
        <v>-12672.89654023736</v>
      </c>
      <c r="G126" s="3">
        <f aca="true" t="shared" si="37" ref="G126:O126">-0.17*G125</f>
        <v>-13775.33968561673</v>
      </c>
      <c r="H126" s="3">
        <f t="shared" si="37"/>
        <v>-14772.133015806246</v>
      </c>
      <c r="I126" s="3">
        <f t="shared" si="37"/>
        <v>-15543.864770931548</v>
      </c>
      <c r="J126" s="3">
        <f t="shared" si="37"/>
        <v>-16343.583714797152</v>
      </c>
      <c r="K126" s="3">
        <f t="shared" si="37"/>
        <v>-17172.61576937326</v>
      </c>
      <c r="L126" s="3">
        <f t="shared" si="37"/>
        <v>-18032.354318496527</v>
      </c>
      <c r="M126" s="3">
        <f t="shared" si="37"/>
        <v>-18924.263738404337</v>
      </c>
      <c r="N126" s="3">
        <f t="shared" si="37"/>
        <v>-19849.883116386904</v>
      </c>
      <c r="O126" s="3">
        <f t="shared" si="37"/>
        <v>-20810.830167703938</v>
      </c>
    </row>
    <row r="127" spans="1:15" ht="12.75">
      <c r="A127" s="20" t="s">
        <v>115</v>
      </c>
      <c r="B127" s="34">
        <f>+B126/B125</f>
        <v>-0.7384642129836587</v>
      </c>
      <c r="C127" s="48">
        <f>+C126/C125</f>
        <v>-0.1666947185064666</v>
      </c>
      <c r="D127" s="34">
        <f>+D126/D125</f>
        <v>0.21735362095531588</v>
      </c>
      <c r="E127" s="34">
        <f>+E126/E125</f>
        <v>-0.3524225575853852</v>
      </c>
      <c r="F127" s="8">
        <f>+F126/F125</f>
        <v>-0.17</v>
      </c>
      <c r="G127" s="8">
        <f aca="true" t="shared" si="38" ref="G127:O127">+G126/G125</f>
        <v>-0.17</v>
      </c>
      <c r="H127" s="8">
        <f t="shared" si="38"/>
        <v>-0.17</v>
      </c>
      <c r="I127" s="8">
        <f t="shared" si="38"/>
        <v>-0.17</v>
      </c>
      <c r="J127" s="8">
        <f t="shared" si="38"/>
        <v>-0.17</v>
      </c>
      <c r="K127" s="8">
        <f t="shared" si="38"/>
        <v>-0.17</v>
      </c>
      <c r="L127" s="8">
        <f t="shared" si="38"/>
        <v>-0.16999999999999998</v>
      </c>
      <c r="M127" s="8">
        <f t="shared" si="38"/>
        <v>-0.17</v>
      </c>
      <c r="N127" s="8">
        <f t="shared" si="38"/>
        <v>-0.17</v>
      </c>
      <c r="O127" s="8">
        <f t="shared" si="38"/>
        <v>-0.17</v>
      </c>
    </row>
    <row r="128" spans="1:15" ht="12.75">
      <c r="A128" s="20" t="s">
        <v>80</v>
      </c>
      <c r="B128" s="18">
        <v>-144</v>
      </c>
      <c r="C128" s="18">
        <v>-283</v>
      </c>
      <c r="D128" s="18">
        <v>-102</v>
      </c>
      <c r="E128" s="18">
        <v>18</v>
      </c>
      <c r="F128" s="2">
        <v>0</v>
      </c>
      <c r="G128" s="5"/>
      <c r="H128" s="5"/>
      <c r="I128" s="5"/>
      <c r="J128" s="5"/>
      <c r="K128" s="5"/>
      <c r="L128" s="5"/>
      <c r="M128" s="5"/>
      <c r="N128" s="5"/>
      <c r="O128" s="4"/>
    </row>
    <row r="129" spans="1:15" ht="12.75">
      <c r="A129" s="16" t="s">
        <v>81</v>
      </c>
      <c r="B129" s="19">
        <v>10387</v>
      </c>
      <c r="C129" s="19">
        <v>311629</v>
      </c>
      <c r="D129" s="19">
        <v>-12743</v>
      </c>
      <c r="E129" s="19"/>
      <c r="F129" s="6">
        <f>+F125+F126</f>
        <v>61873.55369645299</v>
      </c>
      <c r="G129" s="6">
        <f aca="true" t="shared" si="39" ref="G129:O129">+G125+G126</f>
        <v>67256.0702297758</v>
      </c>
      <c r="H129" s="6">
        <f t="shared" si="39"/>
        <v>72122.76707717167</v>
      </c>
      <c r="I129" s="6">
        <f t="shared" si="39"/>
        <v>75890.63388160698</v>
      </c>
      <c r="J129" s="6">
        <f t="shared" si="39"/>
        <v>79795.14401930374</v>
      </c>
      <c r="K129" s="6">
        <f t="shared" si="39"/>
        <v>83842.77110929298</v>
      </c>
      <c r="L129" s="6">
        <f t="shared" si="39"/>
        <v>88040.31814324776</v>
      </c>
      <c r="M129" s="6">
        <f t="shared" si="39"/>
        <v>92394.93472279764</v>
      </c>
      <c r="N129" s="6">
        <f t="shared" si="39"/>
        <v>96914.13521530076</v>
      </c>
      <c r="O129" s="6">
        <f t="shared" si="39"/>
        <v>101605.81787761333</v>
      </c>
    </row>
    <row r="130" spans="1:15" ht="12.75">
      <c r="A130" s="27"/>
      <c r="B130" s="28"/>
      <c r="C130" s="19"/>
      <c r="D130" s="28"/>
      <c r="E130" s="28"/>
      <c r="F130" s="5"/>
      <c r="G130" s="5"/>
      <c r="H130" s="5"/>
      <c r="I130" s="5"/>
      <c r="J130" s="5"/>
      <c r="K130" s="5"/>
      <c r="L130" s="5"/>
      <c r="M130" s="5"/>
      <c r="N130" s="5"/>
      <c r="O130" s="4"/>
    </row>
    <row r="131" spans="1:15" ht="12.75">
      <c r="A131" s="29"/>
      <c r="B131" s="30"/>
      <c r="C131" s="30"/>
      <c r="D131" s="18"/>
      <c r="E131" s="18"/>
      <c r="F131" s="5"/>
      <c r="G131" s="5"/>
      <c r="H131" s="5"/>
      <c r="I131" s="5"/>
      <c r="J131" s="5"/>
      <c r="K131" s="5"/>
      <c r="L131" s="5"/>
      <c r="M131" s="5"/>
      <c r="N131" s="5"/>
      <c r="O131" s="4"/>
    </row>
    <row r="132" spans="1:15" ht="12.75">
      <c r="A132" s="1"/>
      <c r="B132" s="5"/>
      <c r="C132" s="6"/>
      <c r="D132" s="6"/>
      <c r="E132" s="6"/>
      <c r="G132" s="2"/>
      <c r="O132" s="4"/>
    </row>
    <row r="133" spans="2:15" ht="12.75">
      <c r="B133" s="2"/>
      <c r="G133" s="2"/>
      <c r="O133" s="4"/>
    </row>
    <row r="134" spans="2:15" ht="12.75">
      <c r="B134" s="2"/>
      <c r="G134" s="2"/>
      <c r="O134" s="4"/>
    </row>
    <row r="135" spans="2:15" ht="12.75">
      <c r="B135" s="2"/>
      <c r="G135" s="2"/>
      <c r="O135" s="4"/>
    </row>
    <row r="136" spans="2:15" ht="12.75">
      <c r="B136" s="2"/>
      <c r="G136" s="2"/>
      <c r="O136" s="4"/>
    </row>
    <row r="137" spans="2:15" ht="12.75">
      <c r="B137" s="2"/>
      <c r="G137" s="2"/>
      <c r="O137" s="4"/>
    </row>
    <row r="138" spans="2:15" ht="12.75">
      <c r="B138" s="2"/>
      <c r="G138" s="2"/>
      <c r="O138" s="4"/>
    </row>
    <row r="139" spans="2:15" ht="12.75">
      <c r="B139" s="2"/>
      <c r="G139" s="2"/>
      <c r="O139" s="4"/>
    </row>
    <row r="140" spans="7:15" ht="12.75">
      <c r="G140" s="2"/>
      <c r="O140" s="4"/>
    </row>
    <row r="141" spans="7:15" ht="12.75">
      <c r="G141" s="2"/>
      <c r="O141" s="4"/>
    </row>
    <row r="142" spans="7:15" ht="12.75">
      <c r="G142" s="2"/>
      <c r="O142" s="4"/>
    </row>
    <row r="143" spans="7:15" ht="12.75">
      <c r="G143" s="2"/>
      <c r="O143" s="4"/>
    </row>
    <row r="144" spans="7:15" ht="12.75">
      <c r="G144" s="2"/>
      <c r="O144" s="4"/>
    </row>
    <row r="145" spans="7:15" ht="12.75">
      <c r="G145" s="2"/>
      <c r="O145" s="4"/>
    </row>
    <row r="146" spans="7:15" ht="12.75">
      <c r="G146" s="2"/>
      <c r="O146" s="4"/>
    </row>
    <row r="147" spans="7:15" ht="12.75">
      <c r="G147" s="2"/>
      <c r="O147" s="4"/>
    </row>
    <row r="148" spans="7:15" ht="12.75">
      <c r="G148" s="2"/>
      <c r="O148" s="4"/>
    </row>
    <row r="149" spans="7:15" ht="12.75">
      <c r="G149" s="2"/>
      <c r="O149" s="4"/>
    </row>
    <row r="150" spans="7:15" ht="12.75">
      <c r="G150" s="2"/>
      <c r="O150" s="4"/>
    </row>
    <row r="151" spans="7:15" ht="12.75">
      <c r="G151" s="2"/>
      <c r="O151" s="4"/>
    </row>
    <row r="152" spans="7:15" ht="12.75">
      <c r="G152" s="2"/>
      <c r="O152" s="4"/>
    </row>
    <row r="153" spans="7:15" ht="12.75">
      <c r="G153" s="2"/>
      <c r="O153" s="4"/>
    </row>
    <row r="154" spans="7:15" ht="12.75">
      <c r="G154" s="2"/>
      <c r="O154" s="4"/>
    </row>
    <row r="155" spans="7:15" ht="12.75">
      <c r="G155" s="2"/>
      <c r="O155" s="4"/>
    </row>
    <row r="156" spans="7:15" ht="12.75">
      <c r="G156" s="2"/>
      <c r="O156" s="4"/>
    </row>
    <row r="157" spans="7:15" ht="12.75">
      <c r="G157" s="2"/>
      <c r="O157" s="4"/>
    </row>
    <row r="158" spans="7:15" ht="12.75">
      <c r="G158" s="2"/>
      <c r="O158" s="4"/>
    </row>
    <row r="159" spans="7:15" ht="12.75">
      <c r="G159" s="2"/>
      <c r="O159" s="4"/>
    </row>
    <row r="160" spans="7:15" ht="12.75">
      <c r="G160" s="2"/>
      <c r="O160" s="4"/>
    </row>
    <row r="161" spans="7:15" ht="12.75">
      <c r="G161" s="2"/>
      <c r="O161" s="4"/>
    </row>
    <row r="162" spans="7:15" ht="12.75">
      <c r="G162" s="2"/>
      <c r="O162" s="4"/>
    </row>
    <row r="163" spans="7:15" ht="12.75">
      <c r="G163" s="2"/>
      <c r="O163" s="4"/>
    </row>
    <row r="164" spans="7:15" ht="12.75">
      <c r="G164" s="2"/>
      <c r="O164" s="4"/>
    </row>
    <row r="165" spans="7:15" ht="12.75">
      <c r="G165" s="2"/>
      <c r="O165" s="4"/>
    </row>
    <row r="166" spans="7:15" ht="12.75">
      <c r="G166" s="2"/>
      <c r="O166" s="4"/>
    </row>
    <row r="167" spans="7:15" ht="12.75">
      <c r="G167" s="2"/>
      <c r="O167" s="4"/>
    </row>
    <row r="168" spans="7:15" ht="12.75">
      <c r="G168" s="2"/>
      <c r="O168" s="4"/>
    </row>
    <row r="169" spans="7:15" ht="12.75">
      <c r="G169" s="2"/>
      <c r="O169" s="4"/>
    </row>
    <row r="170" spans="7:15" ht="12.75">
      <c r="G170" s="2"/>
      <c r="O170" s="4"/>
    </row>
    <row r="171" spans="7:15" ht="12.75">
      <c r="G171" s="2"/>
      <c r="O171" s="4"/>
    </row>
    <row r="172" spans="7:15" ht="12.75">
      <c r="G172" s="2"/>
      <c r="O172" s="4"/>
    </row>
    <row r="173" spans="7:15" ht="12.75">
      <c r="G173" s="2"/>
      <c r="O173" s="4"/>
    </row>
    <row r="174" spans="7:15" ht="12.75">
      <c r="G174" s="2"/>
      <c r="O174" s="4"/>
    </row>
    <row r="175" spans="7:15" ht="12.75">
      <c r="G175" s="2"/>
      <c r="O175" s="4"/>
    </row>
    <row r="176" spans="7:15" ht="12.75">
      <c r="G176" s="2"/>
      <c r="O176" s="4"/>
    </row>
    <row r="177" spans="7:15" ht="12.75">
      <c r="G177" s="2"/>
      <c r="O177" s="4"/>
    </row>
    <row r="178" spans="7:15" ht="12.75">
      <c r="G178" s="2"/>
      <c r="O178" s="4"/>
    </row>
    <row r="179" spans="7:15" ht="12.75">
      <c r="G179" s="2"/>
      <c r="O179" s="4"/>
    </row>
    <row r="180" spans="7:15" ht="12.75">
      <c r="G180" s="2"/>
      <c r="O180" s="4"/>
    </row>
    <row r="181" spans="7:15" ht="12.75">
      <c r="G181" s="2"/>
      <c r="O181" s="4"/>
    </row>
    <row r="182" spans="7:15" ht="12.75">
      <c r="G182" s="2"/>
      <c r="O182" s="4"/>
    </row>
    <row r="183" spans="7:15" ht="12.75">
      <c r="G183" s="2"/>
      <c r="O183" s="4"/>
    </row>
    <row r="184" spans="7:15" ht="12.75">
      <c r="G184" s="2"/>
      <c r="O184" s="4"/>
    </row>
    <row r="185" spans="7:15" ht="12.75">
      <c r="G185" s="2"/>
      <c r="O185" s="4"/>
    </row>
    <row r="186" spans="7:15" ht="12.75">
      <c r="G186" s="2"/>
      <c r="O186" s="4"/>
    </row>
    <row r="187" spans="7:15" ht="12.75">
      <c r="G187" s="2"/>
      <c r="O187" s="4"/>
    </row>
    <row r="188" spans="7:15" ht="12.75">
      <c r="G188" s="2"/>
      <c r="O188" s="4"/>
    </row>
    <row r="189" spans="7:15" ht="12.75">
      <c r="G189" s="2"/>
      <c r="O189" s="4"/>
    </row>
    <row r="190" spans="7:15" ht="12.75">
      <c r="G190" s="2"/>
      <c r="O190" s="4"/>
    </row>
    <row r="191" spans="7:15" ht="12.75">
      <c r="G191" s="2"/>
      <c r="O191" s="4"/>
    </row>
    <row r="192" spans="7:15" ht="12.75">
      <c r="G192" s="2"/>
      <c r="O192" s="4"/>
    </row>
    <row r="193" spans="7:15" ht="12.75">
      <c r="G193" s="2"/>
      <c r="O193" s="4"/>
    </row>
    <row r="194" spans="7:15" ht="12.75">
      <c r="G194" s="2"/>
      <c r="O194" s="4"/>
    </row>
    <row r="195" spans="7:15" ht="12.75">
      <c r="G195" s="2"/>
      <c r="O195" s="4"/>
    </row>
    <row r="196" spans="7:15" ht="12.75">
      <c r="G196" s="2"/>
      <c r="O196" s="4"/>
    </row>
    <row r="197" spans="7:15" ht="12.75">
      <c r="G197" s="2"/>
      <c r="O197" s="4"/>
    </row>
    <row r="198" spans="7:15" ht="12.75">
      <c r="G198" s="2"/>
      <c r="O198" s="4"/>
    </row>
    <row r="199" spans="7:15" ht="12.75">
      <c r="G199" s="2"/>
      <c r="O199" s="4"/>
    </row>
    <row r="200" spans="7:15" ht="12.75">
      <c r="G200" s="2"/>
      <c r="O200" s="4"/>
    </row>
    <row r="201" spans="7:15" ht="12.75">
      <c r="G201" s="2"/>
      <c r="O201" s="4"/>
    </row>
    <row r="202" spans="7:15" ht="12.75">
      <c r="G202" s="2"/>
      <c r="O202" s="4"/>
    </row>
    <row r="203" spans="7:15" ht="12.75">
      <c r="G203" s="2"/>
      <c r="O203" s="4"/>
    </row>
    <row r="204" spans="7:15" ht="12.75">
      <c r="G204" s="2"/>
      <c r="O204" s="4"/>
    </row>
    <row r="205" spans="7:15" ht="12.75">
      <c r="G205" s="2"/>
      <c r="O205" s="4"/>
    </row>
    <row r="206" spans="7:15" ht="12.75">
      <c r="G206" s="2"/>
      <c r="O206" s="4"/>
    </row>
    <row r="207" spans="7:15" ht="12.75">
      <c r="G207" s="2"/>
      <c r="O207" s="4"/>
    </row>
    <row r="208" spans="7:15" ht="12.75">
      <c r="G208" s="2"/>
      <c r="O208" s="4"/>
    </row>
    <row r="209" spans="7:15" ht="12.75">
      <c r="G209" s="2"/>
      <c r="O209" s="4"/>
    </row>
    <row r="210" spans="7:15" ht="12.75">
      <c r="G210" s="2"/>
      <c r="O210" s="4"/>
    </row>
    <row r="211" spans="7:15" ht="12.75">
      <c r="G211" s="2"/>
      <c r="O211" s="4"/>
    </row>
    <row r="212" spans="7:15" ht="12.75">
      <c r="G212" s="2"/>
      <c r="O212" s="4"/>
    </row>
    <row r="213" spans="7:15" ht="12.75">
      <c r="G213" s="2"/>
      <c r="O213" s="4"/>
    </row>
    <row r="214" spans="7:15" ht="12.75">
      <c r="G214" s="2"/>
      <c r="O214" s="4"/>
    </row>
    <row r="215" spans="7:15" ht="12.75">
      <c r="G215" s="2"/>
      <c r="O215" s="4"/>
    </row>
    <row r="216" spans="7:15" ht="12.75">
      <c r="G216" s="2"/>
      <c r="O216" s="4"/>
    </row>
    <row r="217" spans="7:15" ht="12.75">
      <c r="G217" s="2"/>
      <c r="O217" s="4"/>
    </row>
    <row r="218" spans="7:15" ht="12.75">
      <c r="G218" s="2"/>
      <c r="O218" s="4"/>
    </row>
    <row r="219" spans="7:15" ht="12.75">
      <c r="G219" s="2"/>
      <c r="O219" s="4"/>
    </row>
    <row r="220" spans="7:15" ht="12.75">
      <c r="G220" s="2"/>
      <c r="O220" s="4"/>
    </row>
    <row r="221" spans="7:15" ht="12.75">
      <c r="G221" s="2"/>
      <c r="O221" s="4"/>
    </row>
    <row r="222" spans="7:15" ht="12.75">
      <c r="G222" s="2"/>
      <c r="O222" s="4"/>
    </row>
    <row r="223" spans="7:15" ht="12.75">
      <c r="G223" s="2"/>
      <c r="O223" s="4"/>
    </row>
    <row r="224" spans="7:15" ht="12.75">
      <c r="G224" s="2"/>
      <c r="O224" s="4"/>
    </row>
    <row r="225" spans="7:15" ht="12.75">
      <c r="G225" s="2"/>
      <c r="O225" s="4"/>
    </row>
    <row r="226" spans="7:15" ht="12.75">
      <c r="G226" s="2"/>
      <c r="O226" s="4"/>
    </row>
    <row r="227" spans="7:15" ht="12.75">
      <c r="G227" s="2"/>
      <c r="O227" s="4"/>
    </row>
    <row r="228" spans="7:15" ht="12.75">
      <c r="G228" s="2"/>
      <c r="O228" s="4"/>
    </row>
    <row r="229" spans="7:15" ht="12.75">
      <c r="G229" s="2"/>
      <c r="O229" s="4"/>
    </row>
    <row r="230" spans="7:15" ht="12.75">
      <c r="G230" s="2"/>
      <c r="O230" s="4"/>
    </row>
    <row r="231" spans="7:15" ht="12.75">
      <c r="G231" s="2"/>
      <c r="O231" s="4"/>
    </row>
    <row r="232" spans="7:15" ht="12.75">
      <c r="G232" s="2"/>
      <c r="O232" s="4"/>
    </row>
    <row r="233" spans="7:15" ht="12.75">
      <c r="G233" s="2"/>
      <c r="O233" s="4"/>
    </row>
    <row r="234" spans="7:15" ht="12.75">
      <c r="G234" s="2"/>
      <c r="O234" s="4"/>
    </row>
    <row r="235" spans="7:15" ht="12.75">
      <c r="G235" s="2"/>
      <c r="O235" s="4"/>
    </row>
    <row r="236" spans="7:15" ht="12.75">
      <c r="G236" s="2"/>
      <c r="O236" s="4"/>
    </row>
    <row r="237" spans="7:15" ht="12.75">
      <c r="G237" s="2"/>
      <c r="O237" s="4"/>
    </row>
    <row r="238" spans="7:15" ht="12.75">
      <c r="G238" s="2"/>
      <c r="O238" s="4"/>
    </row>
    <row r="239" spans="7:15" ht="12.75">
      <c r="G239" s="2"/>
      <c r="O239" s="4"/>
    </row>
    <row r="240" spans="7:15" ht="12.75">
      <c r="G240" s="2"/>
      <c r="O240" s="4"/>
    </row>
    <row r="241" spans="7:15" ht="12.75">
      <c r="G241" s="2"/>
      <c r="O241" s="4"/>
    </row>
    <row r="242" spans="7:15" ht="12.75">
      <c r="G242" s="2"/>
      <c r="O242" s="4"/>
    </row>
    <row r="243" spans="7:15" ht="12.75">
      <c r="G243" s="2"/>
      <c r="O243" s="4"/>
    </row>
    <row r="244" spans="7:15" ht="12.75">
      <c r="G244" s="2"/>
      <c r="O244" s="4"/>
    </row>
    <row r="245" spans="7:15" ht="12.75">
      <c r="G245" s="2"/>
      <c r="O245" s="4"/>
    </row>
    <row r="246" spans="7:15" ht="12.75">
      <c r="G246" s="2"/>
      <c r="O246" s="4"/>
    </row>
    <row r="247" spans="7:15" ht="12.75">
      <c r="G247" s="2"/>
      <c r="O247" s="4"/>
    </row>
    <row r="248" spans="7:15" ht="12.75">
      <c r="G248" s="2"/>
      <c r="O248" s="4"/>
    </row>
    <row r="249" spans="7:15" ht="12.75">
      <c r="G249" s="2"/>
      <c r="O249" s="4"/>
    </row>
    <row r="250" spans="7:15" ht="12.75">
      <c r="G250" s="2"/>
      <c r="O250" s="4"/>
    </row>
    <row r="251" spans="7:15" ht="12.75">
      <c r="G251" s="2"/>
      <c r="O251" s="4"/>
    </row>
    <row r="252" spans="7:15" ht="12.75">
      <c r="G252" s="2"/>
      <c r="O252" s="4"/>
    </row>
    <row r="253" spans="7:15" ht="12.75">
      <c r="G253" s="2"/>
      <c r="O253" s="4"/>
    </row>
    <row r="254" spans="7:15" ht="12.75">
      <c r="G254" s="2"/>
      <c r="O254" s="4"/>
    </row>
    <row r="255" spans="7:15" ht="12.75">
      <c r="G255" s="2"/>
      <c r="O255" s="4"/>
    </row>
    <row r="256" spans="7:15" ht="12.75">
      <c r="G256" s="2"/>
      <c r="O256" s="4"/>
    </row>
    <row r="257" spans="7:15" ht="12.75">
      <c r="G257" s="2"/>
      <c r="O257" s="4"/>
    </row>
    <row r="258" spans="7:15" ht="12.75">
      <c r="G258" s="2"/>
      <c r="O258" s="4"/>
    </row>
    <row r="259" spans="7:15" ht="12.75">
      <c r="G259" s="2"/>
      <c r="O259" s="4"/>
    </row>
    <row r="260" spans="7:15" ht="12.75">
      <c r="G260" s="2"/>
      <c r="O260" s="4"/>
    </row>
    <row r="261" spans="7:15" ht="12.75">
      <c r="G261" s="2"/>
      <c r="O261" s="4"/>
    </row>
    <row r="262" spans="7:15" ht="12.75">
      <c r="G262" s="2"/>
      <c r="O262" s="4"/>
    </row>
    <row r="263" spans="7:15" ht="12.75">
      <c r="G263" s="2"/>
      <c r="O263" s="4"/>
    </row>
    <row r="264" spans="7:15" ht="12.75">
      <c r="G264" s="2"/>
      <c r="O264" s="4"/>
    </row>
    <row r="265" spans="7:15" ht="12.75">
      <c r="G265" s="2"/>
      <c r="O265" s="4"/>
    </row>
    <row r="266" spans="7:15" ht="12.75">
      <c r="G266" s="2"/>
      <c r="O266" s="4"/>
    </row>
    <row r="267" spans="7:15" ht="12.75">
      <c r="G267" s="2"/>
      <c r="O267" s="4"/>
    </row>
    <row r="268" spans="7:15" ht="12.75">
      <c r="G268" s="2"/>
      <c r="O268" s="4"/>
    </row>
    <row r="269" spans="7:15" ht="12.75">
      <c r="G269" s="2"/>
      <c r="O269" s="4"/>
    </row>
    <row r="270" spans="7:15" ht="12.75">
      <c r="G270" s="2"/>
      <c r="O270" s="4"/>
    </row>
    <row r="271" spans="7:15" ht="12.75">
      <c r="G271" s="2"/>
      <c r="O271" s="4"/>
    </row>
    <row r="272" spans="7:15" ht="12.75">
      <c r="G272" s="2"/>
      <c r="O272" s="4"/>
    </row>
    <row r="273" spans="7:15" ht="12.75">
      <c r="G273" s="2"/>
      <c r="O273" s="4"/>
    </row>
    <row r="274" spans="7:15" ht="12.75">
      <c r="G274" s="2"/>
      <c r="O274" s="4"/>
    </row>
    <row r="275" spans="7:15" ht="12.75">
      <c r="G275" s="2"/>
      <c r="O275" s="4"/>
    </row>
    <row r="276" spans="7:15" ht="12.75">
      <c r="G276" s="2"/>
      <c r="O276" s="4"/>
    </row>
    <row r="277" spans="7:15" ht="12.75">
      <c r="G277" s="2"/>
      <c r="O277" s="4"/>
    </row>
    <row r="278" spans="7:15" ht="12.75">
      <c r="G278" s="2"/>
      <c r="O278" s="4"/>
    </row>
    <row r="279" spans="7:15" ht="12.75">
      <c r="G279" s="2"/>
      <c r="O279" s="4"/>
    </row>
    <row r="280" spans="7:15" ht="12.75">
      <c r="G280" s="2"/>
      <c r="O280" s="4"/>
    </row>
    <row r="281" spans="7:15" ht="12.75">
      <c r="G281" s="2"/>
      <c r="O281" s="4"/>
    </row>
    <row r="282" spans="7:15" ht="12.75">
      <c r="G282" s="2"/>
      <c r="O282" s="4"/>
    </row>
    <row r="283" spans="7:15" ht="12.75">
      <c r="G283" s="2"/>
      <c r="O283" s="4"/>
    </row>
    <row r="284" spans="7:15" ht="12.75">
      <c r="G284" s="2"/>
      <c r="O284" s="4"/>
    </row>
    <row r="285" spans="7:15" ht="12.75">
      <c r="G285" s="2"/>
      <c r="O285" s="4"/>
    </row>
    <row r="286" spans="7:15" ht="12.75">
      <c r="G286" s="2"/>
      <c r="O286" s="4"/>
    </row>
    <row r="287" spans="7:15" ht="12.75">
      <c r="G287" s="2"/>
      <c r="O287" s="4"/>
    </row>
    <row r="288" spans="7:15" ht="12.75">
      <c r="G288" s="2"/>
      <c r="O288" s="4"/>
    </row>
    <row r="289" spans="7:15" ht="12.75">
      <c r="G289" s="2"/>
      <c r="O289" s="4"/>
    </row>
    <row r="290" spans="7:15" ht="12.75">
      <c r="G290" s="2"/>
      <c r="O290" s="4"/>
    </row>
    <row r="291" spans="7:15" ht="12.75">
      <c r="G291" s="2"/>
      <c r="O291" s="4"/>
    </row>
    <row r="292" spans="7:15" ht="12.75">
      <c r="G292" s="2"/>
      <c r="O292" s="4"/>
    </row>
    <row r="293" spans="7:15" ht="12.75">
      <c r="G293" s="2"/>
      <c r="O293" s="4"/>
    </row>
    <row r="294" spans="7:15" ht="12.75">
      <c r="G294" s="2"/>
      <c r="O294" s="4"/>
    </row>
    <row r="295" spans="7:15" ht="12.75">
      <c r="G295" s="2"/>
      <c r="O295" s="4"/>
    </row>
    <row r="296" spans="7:15" ht="12.75">
      <c r="G296" s="2"/>
      <c r="O296" s="4"/>
    </row>
    <row r="297" spans="7:15" ht="12.75">
      <c r="G297" s="2"/>
      <c r="O297" s="4"/>
    </row>
    <row r="298" spans="7:15" ht="12.75">
      <c r="G298" s="2"/>
      <c r="O298" s="4"/>
    </row>
    <row r="299" spans="7:15" ht="12.75">
      <c r="G299" s="2"/>
      <c r="O299" s="4"/>
    </row>
    <row r="300" spans="7:15" ht="12.75">
      <c r="G300" s="2"/>
      <c r="O300" s="4"/>
    </row>
    <row r="301" spans="7:15" ht="12.75">
      <c r="G301" s="2"/>
      <c r="O301" s="4"/>
    </row>
    <row r="302" spans="7:15" ht="12.75">
      <c r="G302" s="2"/>
      <c r="O302" s="4"/>
    </row>
    <row r="303" spans="7:15" ht="12.75">
      <c r="G303" s="2"/>
      <c r="O303" s="4"/>
    </row>
    <row r="304" spans="7:15" ht="12.75">
      <c r="G304" s="2"/>
      <c r="O304" s="4"/>
    </row>
    <row r="305" spans="7:15" ht="12.75">
      <c r="G305" s="2"/>
      <c r="O305" s="4"/>
    </row>
    <row r="306" spans="7:15" ht="12.75">
      <c r="G306" s="2"/>
      <c r="O306" s="4"/>
    </row>
    <row r="307" spans="7:15" ht="12.75">
      <c r="G307" s="2"/>
      <c r="O307" s="4"/>
    </row>
    <row r="308" spans="7:15" ht="12.75">
      <c r="G308" s="2"/>
      <c r="O308" s="4"/>
    </row>
    <row r="309" spans="7:15" ht="12.75">
      <c r="G309" s="2"/>
      <c r="O309" s="4"/>
    </row>
    <row r="310" spans="7:15" ht="12.75">
      <c r="G310" s="2"/>
      <c r="O310" s="4"/>
    </row>
    <row r="311" spans="7:15" ht="12.75">
      <c r="G311" s="2"/>
      <c r="O311" s="4"/>
    </row>
    <row r="312" spans="7:15" ht="12.75">
      <c r="G312" s="2"/>
      <c r="O312" s="4"/>
    </row>
    <row r="313" spans="7:15" ht="12.75">
      <c r="G313" s="2"/>
      <c r="O313" s="4"/>
    </row>
    <row r="314" spans="7:15" ht="12.75">
      <c r="G314" s="2"/>
      <c r="O314" s="4"/>
    </row>
    <row r="315" spans="7:15" ht="12.75">
      <c r="G315" s="2"/>
      <c r="O315" s="4"/>
    </row>
    <row r="316" spans="7:15" ht="12.75">
      <c r="G316" s="2"/>
      <c r="O316" s="4"/>
    </row>
    <row r="317" spans="7:15" ht="12.75">
      <c r="G317" s="2"/>
      <c r="O317" s="4"/>
    </row>
  </sheetData>
  <printOptions/>
  <pageMargins left="0.75" right="0.75" top="1" bottom="1" header="0" footer="0"/>
  <pageSetup fitToHeight="2" fitToWidth="1" orientation="landscape" scale="50" r:id="rId1"/>
  <ignoredErrors>
    <ignoredError sqref="B96:C96 B90:C90 F8 F54 B22:B23 C21:C23 B21 B24:C24 B25:C25 B102:C102 B78:C78 B84:C84 B76:C76 F9:O9 B109:C109 D30 B30:C30 C127:D127 C28:D28 B28 B67:C67 B20:C20 B127 B60:D60 B54:D54 B69:C69 E109:F109 E31 D13:D14 D58 F76 F28:G28 F30 F13:F15 H28:AI28 G30:O30 G109:AE109 G54:Q54 O76 G76:N76" unlockedFormula="1"/>
    <ignoredError sqref="B114 C114:D114" formulaRange="1" unlockedFormula="1"/>
    <ignoredError sqref="G40 G80 I15 G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Sylvia Riesco</cp:lastModifiedBy>
  <cp:lastPrinted>2005-07-14T15:46:12Z</cp:lastPrinted>
  <dcterms:created xsi:type="dcterms:W3CDTF">2005-03-08T13:36:39Z</dcterms:created>
  <dcterms:modified xsi:type="dcterms:W3CDTF">2005-07-14T15:46:15Z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-1013121117</vt:i4>
  </property>
  <property fmtid="{D5CDD505-2E9C-101B-9397-08002B2CF9AE}" pid="3" name="_EmailSubject">
    <vt:lpwstr>INFORME MINISTERIO</vt:lpwstr>
  </property>
  <property fmtid="{D5CDD505-2E9C-101B-9397-08002B2CF9AE}" pid="4" name="_AuthorEmail">
    <vt:lpwstr>mtfp@terra.cl</vt:lpwstr>
  </property>
  <property fmtid="{D5CDD505-2E9C-101B-9397-08002B2CF9AE}" pid="5" name="_AuthorEmailDisplayName">
    <vt:lpwstr> Teresa Fernandez</vt:lpwstr>
  </property>
  <property fmtid="{D5CDD505-2E9C-101B-9397-08002B2CF9AE}" pid="6" name="_PreviousAdHocReviewCycleID">
    <vt:i4>1596119046</vt:i4>
  </property>
</Properties>
</file>